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si\PRISM\PRISM\TY2021\IndivFrgn\Bulletin Article\"/>
    </mc:Choice>
  </mc:AlternateContent>
  <xr:revisionPtr revIDLastSave="0" documentId="8_{22F00A1B-5AD0-422A-8A86-19CAF59566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in02ic" sheetId="1" r:id="rId1"/>
  </sheets>
  <definedNames>
    <definedName name="_xlnm.Print_Area" localSheetId="0">'01in02ic'!#REF!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8" i="1" l="1"/>
  <c r="Q52" i="1"/>
  <c r="Q49" i="1"/>
  <c r="Q54" i="1"/>
  <c r="P29" i="1"/>
  <c r="P22" i="1"/>
  <c r="N68" i="1"/>
  <c r="N67" i="1"/>
  <c r="N52" i="1"/>
  <c r="N50" i="1"/>
  <c r="N17" i="1"/>
  <c r="N22" i="1"/>
  <c r="L27" i="1"/>
  <c r="L31" i="1" s="1"/>
  <c r="K39" i="1" l="1"/>
  <c r="K47" i="1"/>
  <c r="J39" i="1"/>
  <c r="J45" i="1"/>
  <c r="I24" i="1"/>
  <c r="F83" i="1"/>
  <c r="F79" i="1"/>
  <c r="F50" i="1"/>
  <c r="F49" i="1"/>
  <c r="F39" i="1"/>
  <c r="F34" i="1"/>
  <c r="E22" i="1"/>
  <c r="H83" i="1"/>
  <c r="H77" i="1"/>
  <c r="H61" i="1"/>
  <c r="G77" i="1"/>
  <c r="G61" i="1"/>
  <c r="G50" i="1"/>
  <c r="G43" i="1"/>
  <c r="G39" i="1"/>
  <c r="G34" i="1"/>
  <c r="F58" i="1"/>
  <c r="G17" i="1"/>
  <c r="F17" i="1"/>
  <c r="F24" i="1" s="1"/>
  <c r="Q83" i="1"/>
  <c r="Q72" i="1"/>
  <c r="Q43" i="1"/>
  <c r="Q38" i="1"/>
  <c r="Q24" i="1"/>
  <c r="Q17" i="1"/>
  <c r="P66" i="1"/>
  <c r="P59" i="1"/>
  <c r="P49" i="1"/>
  <c r="N79" i="1"/>
  <c r="N59" i="1"/>
  <c r="N45" i="1"/>
  <c r="N39" i="1"/>
  <c r="N38" i="1"/>
  <c r="N34" i="1"/>
  <c r="M80" i="1"/>
  <c r="M78" i="1"/>
  <c r="M66" i="1"/>
  <c r="L75" i="1"/>
  <c r="L66" i="1"/>
  <c r="L61" i="1"/>
  <c r="L49" i="1"/>
  <c r="L39" i="1"/>
  <c r="L22" i="1"/>
  <c r="L24" i="1" s="1"/>
  <c r="K72" i="1"/>
  <c r="K59" i="1"/>
  <c r="K58" i="1"/>
  <c r="K54" i="1"/>
  <c r="K34" i="1"/>
  <c r="K27" i="1"/>
  <c r="J72" i="1"/>
  <c r="J38" i="1"/>
  <c r="J34" i="1"/>
  <c r="J24" i="1"/>
  <c r="J18" i="1"/>
  <c r="I66" i="1"/>
  <c r="I59" i="1"/>
  <c r="I49" i="1"/>
  <c r="I39" i="1"/>
  <c r="I27" i="1"/>
  <c r="F72" i="1"/>
  <c r="E72" i="1"/>
  <c r="E71" i="1"/>
  <c r="E66" i="1"/>
  <c r="E62" i="1"/>
  <c r="E38" i="1"/>
  <c r="E27" i="1"/>
  <c r="Q89" i="1" l="1"/>
  <c r="Q88" i="1"/>
  <c r="Q63" i="1"/>
  <c r="P89" i="1"/>
  <c r="P84" i="1"/>
  <c r="P63" i="1"/>
  <c r="P55" i="1"/>
  <c r="O89" i="1"/>
  <c r="O84" i="1"/>
  <c r="O63" i="1"/>
  <c r="O55" i="1"/>
  <c r="O31" i="1"/>
  <c r="O24" i="1"/>
  <c r="N89" i="1" l="1"/>
  <c r="N84" i="1"/>
  <c r="N63" i="1"/>
  <c r="N55" i="1"/>
  <c r="M89" i="1"/>
  <c r="M88" i="1"/>
  <c r="M84" i="1"/>
  <c r="M63" i="1"/>
  <c r="L89" i="1"/>
  <c r="L84" i="1"/>
  <c r="L63" i="1"/>
  <c r="L55" i="1"/>
  <c r="K89" i="1"/>
  <c r="K88" i="1"/>
  <c r="K84" i="1"/>
  <c r="K63" i="1"/>
  <c r="K55" i="1"/>
  <c r="J89" i="1" l="1"/>
  <c r="J84" i="1"/>
  <c r="J63" i="1"/>
  <c r="J55" i="1"/>
  <c r="I89" i="1"/>
  <c r="H88" i="1"/>
  <c r="F88" i="1"/>
  <c r="I84" i="1"/>
  <c r="I63" i="1"/>
  <c r="I55" i="1" l="1"/>
  <c r="H84" i="1"/>
  <c r="H63" i="1"/>
  <c r="G89" i="1"/>
  <c r="G84" i="1"/>
  <c r="G63" i="1"/>
  <c r="G55" i="1"/>
  <c r="F89" i="1"/>
  <c r="F84" i="1"/>
  <c r="F55" i="1"/>
  <c r="E89" i="1"/>
  <c r="E84" i="1"/>
  <c r="E63" i="1"/>
  <c r="E55" i="1"/>
  <c r="D89" i="1" l="1"/>
  <c r="D84" i="1"/>
  <c r="D63" i="1"/>
  <c r="D55" i="1" l="1"/>
  <c r="D31" i="1"/>
  <c r="D24" i="1"/>
  <c r="C89" i="1"/>
  <c r="C84" i="1"/>
  <c r="C63" i="1"/>
  <c r="C55" i="1"/>
  <c r="C31" i="1"/>
  <c r="C24" i="1"/>
  <c r="B89" i="1" l="1"/>
  <c r="B88" i="1"/>
  <c r="B84" i="1"/>
  <c r="B63" i="1"/>
  <c r="B55" i="1"/>
  <c r="B31" i="1"/>
  <c r="B24" i="1"/>
</calcChain>
</file>

<file path=xl/sharedStrings.xml><?xml version="1.0" encoding="utf-8"?>
<sst xmlns="http://schemas.openxmlformats.org/spreadsheetml/2006/main" count="304" uniqueCount="111">
  <si>
    <t>[All figures are estimates based on samples--money amounts are in thousands of dollars]</t>
  </si>
  <si>
    <t>Foreign-earned income</t>
  </si>
  <si>
    <t>Country or region</t>
  </si>
  <si>
    <t xml:space="preserve">    All geographic areas</t>
  </si>
  <si>
    <t>North America, total</t>
  </si>
  <si>
    <t>Canada</t>
  </si>
  <si>
    <t>Greenland</t>
  </si>
  <si>
    <t>Mexico</t>
  </si>
  <si>
    <t>Argentina</t>
  </si>
  <si>
    <t>Brazil</t>
  </si>
  <si>
    <t>Chile</t>
  </si>
  <si>
    <t>Colombia</t>
  </si>
  <si>
    <t>Panama</t>
  </si>
  <si>
    <t>Peru</t>
  </si>
  <si>
    <t>Venezuela</t>
  </si>
  <si>
    <t>Other Latin and South American countries</t>
  </si>
  <si>
    <t>Caribbean, total</t>
  </si>
  <si>
    <t>Bermuda</t>
  </si>
  <si>
    <t>Cayman Islands</t>
  </si>
  <si>
    <t>Other Caribbean countries</t>
  </si>
  <si>
    <t>Europe, total</t>
  </si>
  <si>
    <t>Austria</t>
  </si>
  <si>
    <t>Belgium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</si>
  <si>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</si>
  <si>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</si>
  <si>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</si>
  <si>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</si>
  <si>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</si>
  <si>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</si>
  <si>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</si>
  <si>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</si>
  <si>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</si>
  <si>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Luxembourg</t>
  </si>
  <si>
    <t>Netherlands</t>
  </si>
  <si>
    <t>Norway</t>
  </si>
  <si>
    <t>Poland</t>
  </si>
  <si>
    <t>Russia</t>
  </si>
  <si>
    <t>Spain</t>
  </si>
  <si>
    <t>Sweden</t>
  </si>
  <si>
    <t>Switzerland</t>
  </si>
  <si>
    <t>Turkey</t>
  </si>
  <si>
    <t>United Kingdom</t>
  </si>
  <si>
    <t>Other European countries</t>
  </si>
  <si>
    <t>Africa, total</t>
  </si>
  <si>
    <t>Angola</t>
  </si>
  <si>
    <t>Egypt</t>
  </si>
  <si>
    <t>Kenya</t>
  </si>
  <si>
    <t>Nigeria</t>
  </si>
  <si>
    <t>South Africa</t>
  </si>
  <si>
    <t>Other African countries</t>
  </si>
  <si>
    <t>Asia, total</t>
  </si>
  <si>
    <t>China</t>
  </si>
  <si>
    <t>India</t>
  </si>
  <si>
    <t>Indonesia</t>
  </si>
  <si>
    <t>Israel</t>
  </si>
  <si>
    <t>Japan</t>
  </si>
  <si>
    <t>Malaysia</t>
  </si>
  <si>
    <t>Philippines</t>
  </si>
  <si>
    <t>Saudi Arabia</t>
  </si>
  <si>
    <t>Singapore</t>
  </si>
  <si>
    <t>South Korea</t>
  </si>
  <si>
    <t>Taiwan</t>
  </si>
  <si>
    <t>Thailand</t>
  </si>
  <si>
    <t>United Arab Emirates</t>
  </si>
  <si>
    <t>Other Asian countries</t>
  </si>
  <si>
    <t>Oceania, total</t>
  </si>
  <si>
    <t>Australia</t>
  </si>
  <si>
    <t>New Zealand</t>
  </si>
  <si>
    <t>Other Oceania countries</t>
  </si>
  <si>
    <t>* Estimate should be used with caution because of the small number of sample returns on which it is based.</t>
  </si>
  <si>
    <t>Number
of
returns [1]</t>
  </si>
  <si>
    <t>Total
foreign-
earned
income</t>
  </si>
  <si>
    <t>Salaries
and
wages</t>
  </si>
  <si>
    <t>Business or
professional
income
(less loss)</t>
  </si>
  <si>
    <t>Partnership
income
(less loss)</t>
  </si>
  <si>
    <t>Less:
meals
and
lodging
excluded</t>
  </si>
  <si>
    <t>Foreign-
earned
income
exclusion
before
deductions</t>
  </si>
  <si>
    <t>Housing
exclusion</t>
  </si>
  <si>
    <t>Housing
deduction</t>
  </si>
  <si>
    <t>Costa Rica</t>
  </si>
  <si>
    <t>Dominican Republic</t>
  </si>
  <si>
    <t>Iraq</t>
  </si>
  <si>
    <t>Afghanistan</t>
  </si>
  <si>
    <t>Other
foreign-earned
income
(less loss)</t>
  </si>
  <si>
    <t>Morocco</t>
  </si>
  <si>
    <t>Kuwait</t>
  </si>
  <si>
    <t>Lebanon</t>
  </si>
  <si>
    <t>Qatar</t>
  </si>
  <si>
    <t>Jamaica</t>
  </si>
  <si>
    <t>Hong Kong</t>
  </si>
  <si>
    <t>[1] Includes returns with no foreign-earned income, but filed Form 2555 to claim an exclusion for a prior year or for reporting purposes.</t>
  </si>
  <si>
    <t>Home
(lodging)</t>
  </si>
  <si>
    <t xml:space="preserve">Total </t>
  </si>
  <si>
    <t>Bahamas</t>
  </si>
  <si>
    <t>Total [2]</t>
  </si>
  <si>
    <t>Total cost of living and overseas differential, family, education and home leave</t>
  </si>
  <si>
    <t>** Data combined to prevent disclosure of specific taxpayer information.</t>
  </si>
  <si>
    <t>Latin and South America, total</t>
  </si>
  <si>
    <t>Total noncash income</t>
  </si>
  <si>
    <t>Total allowances, reimbursements, or expenses paid by employers</t>
  </si>
  <si>
    <t>Quarters</t>
  </si>
  <si>
    <t>Other</t>
  </si>
  <si>
    <t>All other countries [3]</t>
  </si>
  <si>
    <t>Table 2. Individual Income Tax Returns With Form 2555:  
Foreign-Earned Income, Exclusion before Deductions, Housing Exclusion, 
and Housing Deduction, by Country or Region, Tax Year 2021</t>
  </si>
  <si>
    <t>Portugal</t>
  </si>
  <si>
    <t>**</t>
  </si>
  <si>
    <t>[3] Includes returns with no country stated and U.S. Possessions.</t>
  </si>
  <si>
    <t>SOURCE: IRS, Statistics of Income, Individual Foreign-Earned Income, November 2024.</t>
  </si>
  <si>
    <t xml:space="preserve">NOTE: Detail may not add to totals because of rounding.  Data are from Forms 2555, Foreign Earned Income, filed by </t>
  </si>
  <si>
    <t xml:space="preserve">
U.S. taxpayers with Form 1040, U.S. Individual Income Tax Return.</t>
  </si>
  <si>
    <r>
      <t xml:space="preserve">[2] Includes meals, car, and other property or facilities </t>
    </r>
    <r>
      <rPr>
        <sz val="6"/>
        <color theme="1"/>
        <rFont val="Arial"/>
        <family val="2"/>
      </rPr>
      <t>(not shown separately)</t>
    </r>
    <r>
      <rPr>
        <sz val="6"/>
        <color rgb="FFFF0000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</si>
</sst>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_);\(0\)"/>
    <numFmt numFmtId="165" formatCode="#,##0&quot;     &quot;;\-#,##0&quot;     &quot;;\-\-&quot;     &quot;;@&quot;    &quot;"/>
    <numFmt numFmtId="166" formatCode="\ \ \ \ @"/>
    <numFmt numFmtId="167" formatCode="&quot;* &quot;#,##0;&quot;* &quot;\-#,##0"/>
    <numFmt numFmtId="168" formatCode="&quot;** &quot;#,##0;&quot;** &quot;\-#,##0;&quot;**&quot;"/>
    <numFmt numFmtId="169" formatCode="_(* #,##0_);_(* \(#,##0\);_(* &quot;-&quot;??_);_(@_)"/>
  </numFmts>
  <fonts count="13" x14ac:knownFonts="1">
    <font>
      <sz val="10"/>
      <name val="Arial"/>
    </font>
    <font>
      <sz val="6.5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6"/>
      <color rgb="FFFF0000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1">
      <alignment horizontal="right"/>
    </xf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164" fontId="4" fillId="0" borderId="6" xfId="0" quotePrefix="1" applyNumberFormat="1" applyFont="1" applyBorder="1" applyAlignment="1">
      <alignment horizontal="center" vertical="center"/>
    </xf>
    <xf numFmtId="164" fontId="4" fillId="0" borderId="7" xfId="0" quotePrefix="1" applyNumberFormat="1" applyFont="1" applyBorder="1" applyAlignment="1">
      <alignment horizontal="center" vertical="center"/>
    </xf>
    <xf numFmtId="164" fontId="4" fillId="0" borderId="8" xfId="0" quotePrefix="1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left"/>
    </xf>
    <xf numFmtId="49" fontId="3" fillId="0" borderId="9" xfId="0" applyNumberFormat="1" applyFont="1" applyBorder="1"/>
    <xf numFmtId="49" fontId="3" fillId="0" borderId="10" xfId="0" applyNumberFormat="1" applyFont="1" applyBorder="1"/>
    <xf numFmtId="3" fontId="4" fillId="0" borderId="1" xfId="1" applyNumberFormat="1" applyFont="1" applyFill="1">
      <alignment horizontal="right"/>
    </xf>
    <xf numFmtId="3" fontId="4" fillId="0" borderId="3" xfId="1" applyNumberFormat="1" applyFont="1" applyFill="1" applyBorder="1">
      <alignment horizontal="right"/>
    </xf>
    <xf numFmtId="3" fontId="3" fillId="0" borderId="1" xfId="1" applyNumberFormat="1" applyFont="1" applyFill="1">
      <alignment horizontal="right"/>
    </xf>
    <xf numFmtId="3" fontId="3" fillId="0" borderId="3" xfId="1" applyNumberFormat="1" applyFont="1" applyFill="1" applyBorder="1">
      <alignment horizontal="right"/>
    </xf>
    <xf numFmtId="3" fontId="3" fillId="0" borderId="5" xfId="1" applyNumberFormat="1" applyFont="1" applyFill="1" applyBorder="1">
      <alignment horizontal="right"/>
    </xf>
    <xf numFmtId="166" fontId="4" fillId="0" borderId="9" xfId="0" applyNumberFormat="1" applyFont="1" applyBorder="1" applyAlignment="1">
      <alignment horizontal="left"/>
    </xf>
    <xf numFmtId="166" fontId="4" fillId="0" borderId="9" xfId="0" applyNumberFormat="1" applyFont="1" applyFill="1" applyBorder="1" applyAlignment="1">
      <alignment horizontal="left"/>
    </xf>
    <xf numFmtId="167" fontId="3" fillId="0" borderId="1" xfId="1" applyNumberFormat="1" applyFont="1" applyFill="1">
      <alignment horizontal="right"/>
    </xf>
    <xf numFmtId="168" fontId="3" fillId="0" borderId="1" xfId="1" applyNumberFormat="1" applyFont="1" applyFill="1">
      <alignment horizontal="right"/>
    </xf>
    <xf numFmtId="49" fontId="5" fillId="0" borderId="0" xfId="0" applyNumberFormat="1" applyFont="1" applyBorder="1"/>
    <xf numFmtId="38" fontId="8" fillId="0" borderId="0" xfId="0" applyNumberFormat="1" applyFont="1" applyAlignment="1">
      <alignment horizontal="left"/>
    </xf>
    <xf numFmtId="169" fontId="10" fillId="0" borderId="0" xfId="2" applyNumberFormat="1" applyFont="1" applyFill="1" applyAlignment="1">
      <alignment horizontal="right"/>
    </xf>
    <xf numFmtId="3" fontId="10" fillId="0" borderId="0" xfId="0" applyNumberFormat="1" applyFont="1" applyAlignment="1">
      <alignment horizontal="right"/>
    </xf>
    <xf numFmtId="0" fontId="9" fillId="2" borderId="0" xfId="0" applyFont="1" applyFill="1"/>
    <xf numFmtId="3" fontId="8" fillId="0" borderId="0" xfId="0" applyNumberFormat="1" applyFont="1"/>
    <xf numFmtId="3" fontId="8" fillId="0" borderId="0" xfId="0" applyNumberFormat="1" applyFont="1" applyAlignment="1">
      <alignment horizontal="left"/>
    </xf>
    <xf numFmtId="167" fontId="4" fillId="0" borderId="1" xfId="1" applyNumberFormat="1" applyFont="1" applyFill="1">
      <alignment horizontal="right"/>
    </xf>
    <xf numFmtId="168" fontId="4" fillId="0" borderId="1" xfId="1" applyNumberFormat="1" applyFont="1" applyFill="1">
      <alignment horizontal="right"/>
    </xf>
    <xf numFmtId="49" fontId="5" fillId="0" borderId="0" xfId="0" applyNumberFormat="1" applyFont="1" applyBorder="1" applyAlignment="1">
      <alignment wrapText="1"/>
    </xf>
    <xf numFmtId="49" fontId="5" fillId="0" borderId="0" xfId="0" applyNumberFormat="1" applyFont="1" applyBorder="1" applyAlignment="1"/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12" xfId="0" applyNumberFormat="1" applyFont="1" applyBorder="1"/>
    <xf numFmtId="49" fontId="5" fillId="0" borderId="0" xfId="0" applyNumberFormat="1" applyFont="1"/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</cellXfs>
  <cellStyles count="3">
    <cellStyle name="Comma" xfId="2" builtinId="3"/>
    <cellStyle name="data" xfId="1" xr:uid="{00000000-0005-0000-0000-000000000000}"/>
    <cellStyle name="Normal" xfId="0" builtinId="0"/>
  </cellStyles>
  <dxfs count="1">
    <dxf>
      <numFmt numFmtId="1" formatCode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M104"/>
  <sheetViews>
    <sheetView tabSelected="1" zoomScaleNormal="100" workbookViewId="0">
      <selection sqref="A1:Q1"/>
    </sheetView>
  </sheetViews>
  <sheetFormatPr defaultRowHeight="11.25" x14ac:dyDescent="0.2"/>
  <cols>
    <col min="1" max="1" width="70" style="1" customWidth="1"/>
    <col min="2" max="6" width="15.7109375" style="1" customWidth="1"/>
    <col min="7" max="8" width="15.7109375" style="2" customWidth="1"/>
    <col min="9" max="16" width="15.7109375" style="1" customWidth="1"/>
    <col min="17" max="17" width="15.7109375" style="2" customWidth="1"/>
    <col min="18" max="16384" width="9.140625" style="1"/>
  </cols>
  <sheetData>
    <row r="1" spans="1:17" ht="43.5" customHeight="1" x14ac:dyDescent="0.2">
      <c r="A1" s="35" t="s">
        <v>103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15" customHeight="1" thickBo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15.95" customHeight="1" thickTop="1" x14ac:dyDescent="0.2">
      <c r="A3" s="37" t="s">
        <v>2</v>
      </c>
      <c r="B3" s="40" t="s">
        <v>70</v>
      </c>
      <c r="C3" s="40" t="s">
        <v>71</v>
      </c>
      <c r="D3" s="41" t="s">
        <v>1</v>
      </c>
      <c r="E3" s="42"/>
      <c r="F3" s="42"/>
      <c r="G3" s="42"/>
      <c r="H3" s="42"/>
      <c r="I3" s="42"/>
      <c r="J3" s="42"/>
      <c r="K3" s="42"/>
      <c r="L3" s="42"/>
      <c r="M3" s="42"/>
      <c r="N3" s="43"/>
      <c r="O3" s="40" t="s">
        <v>76</v>
      </c>
      <c r="P3" s="40" t="s">
        <v>77</v>
      </c>
      <c r="Q3" s="44" t="s">
        <v>78</v>
      </c>
    </row>
    <row r="4" spans="1:17" ht="15.95" customHeight="1" x14ac:dyDescent="0.2">
      <c r="A4" s="38"/>
      <c r="B4" s="31"/>
      <c r="C4" s="31"/>
      <c r="D4" s="30" t="s">
        <v>72</v>
      </c>
      <c r="E4" s="30" t="s">
        <v>73</v>
      </c>
      <c r="F4" s="30" t="s">
        <v>74</v>
      </c>
      <c r="G4" s="47" t="s">
        <v>98</v>
      </c>
      <c r="H4" s="48"/>
      <c r="I4" s="47" t="s">
        <v>99</v>
      </c>
      <c r="J4" s="48"/>
      <c r="K4" s="48"/>
      <c r="L4" s="49"/>
      <c r="M4" s="30" t="s">
        <v>75</v>
      </c>
      <c r="N4" s="30" t="s">
        <v>83</v>
      </c>
      <c r="O4" s="31"/>
      <c r="P4" s="31"/>
      <c r="Q4" s="45"/>
    </row>
    <row r="5" spans="1:17" ht="15.95" customHeight="1" x14ac:dyDescent="0.2">
      <c r="A5" s="38"/>
      <c r="B5" s="31"/>
      <c r="C5" s="31"/>
      <c r="D5" s="31"/>
      <c r="E5" s="31"/>
      <c r="F5" s="31"/>
      <c r="G5" s="30" t="s">
        <v>94</v>
      </c>
      <c r="H5" s="30" t="s">
        <v>91</v>
      </c>
      <c r="I5" s="30" t="s">
        <v>92</v>
      </c>
      <c r="J5" s="30" t="s">
        <v>95</v>
      </c>
      <c r="K5" s="30" t="s">
        <v>100</v>
      </c>
      <c r="L5" s="30" t="s">
        <v>101</v>
      </c>
      <c r="M5" s="31"/>
      <c r="N5" s="31"/>
      <c r="O5" s="31"/>
      <c r="P5" s="31"/>
      <c r="Q5" s="45"/>
    </row>
    <row r="6" spans="1:17" ht="15.95" customHeight="1" x14ac:dyDescent="0.2">
      <c r="A6" s="38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45"/>
    </row>
    <row r="7" spans="1:17" ht="15.95" customHeight="1" x14ac:dyDescent="0.2">
      <c r="A7" s="38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45"/>
    </row>
    <row r="8" spans="1:17" ht="15.95" customHeight="1" x14ac:dyDescent="0.2">
      <c r="A8" s="39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46"/>
    </row>
    <row r="9" spans="1:17" ht="15.95" customHeight="1" x14ac:dyDescent="0.2">
      <c r="A9" s="3"/>
      <c r="B9" s="4">
        <v>-1</v>
      </c>
      <c r="C9" s="4">
        <v>-2</v>
      </c>
      <c r="D9" s="4">
        <v>-3</v>
      </c>
      <c r="E9" s="4">
        <v>-4</v>
      </c>
      <c r="F9" s="4">
        <v>-5</v>
      </c>
      <c r="G9" s="5">
        <v>-6</v>
      </c>
      <c r="H9" s="4">
        <v>-7</v>
      </c>
      <c r="I9" s="4">
        <v>-8</v>
      </c>
      <c r="J9" s="6">
        <v>-9</v>
      </c>
      <c r="K9" s="4">
        <v>-10</v>
      </c>
      <c r="L9" s="4">
        <v>-11</v>
      </c>
      <c r="M9" s="4">
        <v>-12</v>
      </c>
      <c r="N9" s="4">
        <v>-13</v>
      </c>
      <c r="O9" s="4">
        <v>-14</v>
      </c>
      <c r="P9" s="4">
        <v>-15</v>
      </c>
      <c r="Q9" s="5">
        <v>-16</v>
      </c>
    </row>
    <row r="10" spans="1:17" ht="15.95" customHeight="1" x14ac:dyDescent="0.2">
      <c r="A10" s="7" t="s">
        <v>3</v>
      </c>
      <c r="B10" s="12">
        <v>437655</v>
      </c>
      <c r="C10" s="12">
        <v>48195214</v>
      </c>
      <c r="D10" s="12">
        <v>40160335</v>
      </c>
      <c r="E10" s="12">
        <v>2789821</v>
      </c>
      <c r="F10" s="12">
        <v>827152</v>
      </c>
      <c r="G10" s="12">
        <v>126123</v>
      </c>
      <c r="H10" s="12">
        <v>98774</v>
      </c>
      <c r="I10" s="12">
        <v>3759199</v>
      </c>
      <c r="J10" s="12">
        <v>177165</v>
      </c>
      <c r="K10" s="12">
        <v>213709</v>
      </c>
      <c r="L10" s="12">
        <v>3368325</v>
      </c>
      <c r="M10" s="12">
        <v>47464</v>
      </c>
      <c r="N10" s="12">
        <v>596285</v>
      </c>
      <c r="O10" s="12">
        <v>28527396</v>
      </c>
      <c r="P10" s="12">
        <v>979995</v>
      </c>
      <c r="Q10" s="13">
        <v>47758</v>
      </c>
    </row>
    <row r="11" spans="1:17" ht="15.95" customHeight="1" x14ac:dyDescent="0.2">
      <c r="A11" s="7" t="s">
        <v>4</v>
      </c>
      <c r="B11" s="12">
        <v>38606</v>
      </c>
      <c r="C11" s="12">
        <v>3343499</v>
      </c>
      <c r="D11" s="12">
        <v>2874801</v>
      </c>
      <c r="E11" s="12">
        <v>343048</v>
      </c>
      <c r="F11" s="12">
        <v>17838</v>
      </c>
      <c r="G11" s="17">
        <v>2877</v>
      </c>
      <c r="H11" s="17">
        <v>2399</v>
      </c>
      <c r="I11" s="12">
        <v>84465</v>
      </c>
      <c r="J11" s="12">
        <v>1022</v>
      </c>
      <c r="K11" s="17">
        <v>1403</v>
      </c>
      <c r="L11" s="12">
        <v>82038</v>
      </c>
      <c r="M11" s="12">
        <v>2452</v>
      </c>
      <c r="N11" s="12">
        <v>22921</v>
      </c>
      <c r="O11" s="12">
        <v>2324977</v>
      </c>
      <c r="P11" s="12">
        <v>15357</v>
      </c>
      <c r="Q11" s="13">
        <v>828</v>
      </c>
    </row>
    <row r="12" spans="1:17" ht="15.95" customHeight="1" x14ac:dyDescent="0.2">
      <c r="A12" s="15" t="s">
        <v>5</v>
      </c>
      <c r="B12" s="10">
        <v>34884</v>
      </c>
      <c r="C12" s="10">
        <v>2897563</v>
      </c>
      <c r="D12" s="10">
        <v>2546306</v>
      </c>
      <c r="E12" s="10">
        <v>283945</v>
      </c>
      <c r="F12" s="10">
        <v>11123</v>
      </c>
      <c r="G12" s="27">
        <v>2877</v>
      </c>
      <c r="H12" s="27">
        <v>2399</v>
      </c>
      <c r="I12" s="10">
        <v>35855</v>
      </c>
      <c r="J12" s="10">
        <v>11</v>
      </c>
      <c r="K12" s="10">
        <v>378</v>
      </c>
      <c r="L12" s="10">
        <v>35465</v>
      </c>
      <c r="M12" s="27">
        <v>2452</v>
      </c>
      <c r="N12" s="10">
        <v>19941</v>
      </c>
      <c r="O12" s="10">
        <v>2081880</v>
      </c>
      <c r="P12" s="10">
        <v>10009</v>
      </c>
      <c r="Q12" s="11">
        <v>768</v>
      </c>
    </row>
    <row r="13" spans="1:17" ht="15.95" customHeight="1" x14ac:dyDescent="0.2">
      <c r="A13" s="15" t="s">
        <v>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1">
        <v>0</v>
      </c>
    </row>
    <row r="14" spans="1:17" ht="15.95" customHeight="1" x14ac:dyDescent="0.2">
      <c r="A14" s="15" t="s">
        <v>7</v>
      </c>
      <c r="B14" s="10">
        <v>3722</v>
      </c>
      <c r="C14" s="10">
        <v>445936</v>
      </c>
      <c r="D14" s="10">
        <v>328495</v>
      </c>
      <c r="E14" s="10">
        <v>59103</v>
      </c>
      <c r="F14" s="10">
        <v>6715</v>
      </c>
      <c r="G14" s="10" t="s">
        <v>105</v>
      </c>
      <c r="H14" s="10" t="s">
        <v>105</v>
      </c>
      <c r="I14" s="10">
        <v>48610</v>
      </c>
      <c r="J14" s="10">
        <v>1011</v>
      </c>
      <c r="K14" s="10">
        <v>1025</v>
      </c>
      <c r="L14" s="10">
        <v>46573</v>
      </c>
      <c r="M14" s="10" t="s">
        <v>105</v>
      </c>
      <c r="N14" s="10">
        <v>2980</v>
      </c>
      <c r="O14" s="10">
        <v>243097</v>
      </c>
      <c r="P14" s="10">
        <v>5348</v>
      </c>
      <c r="Q14" s="11">
        <v>60</v>
      </c>
    </row>
    <row r="15" spans="1:17" ht="15.95" customHeight="1" x14ac:dyDescent="0.2">
      <c r="A15" s="7" t="s">
        <v>97</v>
      </c>
      <c r="B15" s="12">
        <v>13839</v>
      </c>
      <c r="C15" s="12">
        <v>1181641</v>
      </c>
      <c r="D15" s="12">
        <v>912151</v>
      </c>
      <c r="E15" s="12">
        <v>136901</v>
      </c>
      <c r="F15" s="12">
        <v>39668</v>
      </c>
      <c r="G15" s="12">
        <v>4745</v>
      </c>
      <c r="H15" s="17">
        <v>4263</v>
      </c>
      <c r="I15" s="12">
        <v>71884</v>
      </c>
      <c r="J15" s="12">
        <v>2271</v>
      </c>
      <c r="K15" s="18">
        <v>2383</v>
      </c>
      <c r="L15" s="12">
        <v>67229</v>
      </c>
      <c r="M15" s="17">
        <v>1390</v>
      </c>
      <c r="N15" s="12">
        <v>17682</v>
      </c>
      <c r="O15" s="12">
        <v>763879</v>
      </c>
      <c r="P15" s="12">
        <v>19950</v>
      </c>
      <c r="Q15" s="13">
        <v>1873</v>
      </c>
    </row>
    <row r="16" spans="1:17" ht="15.95" customHeight="1" x14ac:dyDescent="0.2">
      <c r="A16" s="15" t="s">
        <v>8</v>
      </c>
      <c r="B16" s="10">
        <v>1066</v>
      </c>
      <c r="C16" s="10">
        <v>88725</v>
      </c>
      <c r="D16" s="10">
        <v>54746</v>
      </c>
      <c r="E16" s="10">
        <v>22990</v>
      </c>
      <c r="F16" s="10" t="s">
        <v>105</v>
      </c>
      <c r="G16" s="10">
        <v>0</v>
      </c>
      <c r="H16" s="10">
        <v>0</v>
      </c>
      <c r="I16" s="26">
        <v>7219</v>
      </c>
      <c r="J16" s="10" t="s">
        <v>105</v>
      </c>
      <c r="K16" s="27">
        <v>2383</v>
      </c>
      <c r="L16" s="26">
        <v>6069</v>
      </c>
      <c r="M16" s="10">
        <v>0</v>
      </c>
      <c r="N16" s="26">
        <v>1509</v>
      </c>
      <c r="O16" s="10">
        <v>52093</v>
      </c>
      <c r="P16" s="26">
        <v>857</v>
      </c>
      <c r="Q16" s="11" t="s">
        <v>105</v>
      </c>
    </row>
    <row r="17" spans="1:17" ht="15.95" customHeight="1" x14ac:dyDescent="0.2">
      <c r="A17" s="15" t="s">
        <v>9</v>
      </c>
      <c r="B17" s="10">
        <v>2542</v>
      </c>
      <c r="C17" s="10">
        <v>204552</v>
      </c>
      <c r="D17" s="10">
        <v>140976</v>
      </c>
      <c r="E17" s="10">
        <v>19982</v>
      </c>
      <c r="F17" s="27">
        <f>31455+2261+128+395</f>
        <v>34239</v>
      </c>
      <c r="G17" s="27">
        <f>1391+23+2418+328</f>
        <v>4160</v>
      </c>
      <c r="H17" s="27">
        <v>4049</v>
      </c>
      <c r="I17" s="26">
        <v>11094</v>
      </c>
      <c r="J17" s="10" t="s">
        <v>105</v>
      </c>
      <c r="K17" s="10" t="s">
        <v>105</v>
      </c>
      <c r="L17" s="26">
        <v>10700</v>
      </c>
      <c r="M17" s="27">
        <v>1390</v>
      </c>
      <c r="N17" s="27">
        <f>1033+28+1978</f>
        <v>3039</v>
      </c>
      <c r="O17" s="10">
        <v>113605</v>
      </c>
      <c r="P17" s="10">
        <v>3060</v>
      </c>
      <c r="Q17" s="27">
        <f>1873-981</f>
        <v>892</v>
      </c>
    </row>
    <row r="18" spans="1:17" ht="15.95" customHeight="1" x14ac:dyDescent="0.2">
      <c r="A18" s="15" t="s">
        <v>10</v>
      </c>
      <c r="B18" s="10">
        <v>838</v>
      </c>
      <c r="C18" s="10">
        <v>107683</v>
      </c>
      <c r="D18" s="10">
        <v>92208</v>
      </c>
      <c r="E18" s="26">
        <v>8519</v>
      </c>
      <c r="F18" s="10">
        <v>0</v>
      </c>
      <c r="G18" s="10">
        <v>0</v>
      </c>
      <c r="H18" s="10">
        <v>0</v>
      </c>
      <c r="I18" s="26">
        <v>6927</v>
      </c>
      <c r="J18" s="27">
        <f>40+518+223+522+73+125</f>
        <v>1501</v>
      </c>
      <c r="K18" s="10" t="s">
        <v>105</v>
      </c>
      <c r="L18" s="26">
        <v>6834</v>
      </c>
      <c r="M18" s="10">
        <v>0</v>
      </c>
      <c r="N18" s="10" t="s">
        <v>105</v>
      </c>
      <c r="O18" s="10">
        <v>53066</v>
      </c>
      <c r="P18" s="10">
        <v>1813</v>
      </c>
      <c r="Q18" s="11" t="s">
        <v>105</v>
      </c>
    </row>
    <row r="19" spans="1:17" ht="15.95" customHeight="1" x14ac:dyDescent="0.2">
      <c r="A19" s="15" t="s">
        <v>11</v>
      </c>
      <c r="B19" s="10">
        <v>2590</v>
      </c>
      <c r="C19" s="10">
        <v>205485</v>
      </c>
      <c r="D19" s="10">
        <v>186993</v>
      </c>
      <c r="E19" s="26">
        <v>5969</v>
      </c>
      <c r="F19" s="26" t="s">
        <v>105</v>
      </c>
      <c r="G19" s="10" t="s">
        <v>105</v>
      </c>
      <c r="H19" s="10" t="s">
        <v>105</v>
      </c>
      <c r="I19" s="10">
        <v>9701</v>
      </c>
      <c r="J19" s="10" t="s">
        <v>105</v>
      </c>
      <c r="K19" s="10" t="s">
        <v>105</v>
      </c>
      <c r="L19" s="26">
        <v>8884</v>
      </c>
      <c r="M19" s="10">
        <v>0</v>
      </c>
      <c r="N19" s="10">
        <v>0</v>
      </c>
      <c r="O19" s="10">
        <v>151431</v>
      </c>
      <c r="P19" s="10">
        <v>3179</v>
      </c>
      <c r="Q19" s="11">
        <v>0</v>
      </c>
    </row>
    <row r="20" spans="1:17" ht="15.95" customHeight="1" x14ac:dyDescent="0.2">
      <c r="A20" s="15" t="s">
        <v>79</v>
      </c>
      <c r="B20" s="10">
        <v>2308</v>
      </c>
      <c r="C20" s="10">
        <v>182303</v>
      </c>
      <c r="D20" s="10">
        <v>130615</v>
      </c>
      <c r="E20" s="10">
        <v>36159</v>
      </c>
      <c r="F20" s="10" t="s">
        <v>105</v>
      </c>
      <c r="G20" s="10">
        <v>0</v>
      </c>
      <c r="H20" s="10">
        <v>0</v>
      </c>
      <c r="I20" s="26">
        <v>15400</v>
      </c>
      <c r="J20" s="10">
        <v>0</v>
      </c>
      <c r="K20" s="10">
        <v>0</v>
      </c>
      <c r="L20" s="26">
        <v>15400</v>
      </c>
      <c r="M20" s="10">
        <v>0</v>
      </c>
      <c r="N20" s="10">
        <v>0</v>
      </c>
      <c r="O20" s="10">
        <v>128953</v>
      </c>
      <c r="P20" s="10">
        <v>3363</v>
      </c>
      <c r="Q20" s="11" t="s">
        <v>105</v>
      </c>
    </row>
    <row r="21" spans="1:17" ht="15.95" customHeight="1" x14ac:dyDescent="0.2">
      <c r="A21" s="15" t="s">
        <v>12</v>
      </c>
      <c r="B21" s="10">
        <v>836</v>
      </c>
      <c r="C21" s="10">
        <v>91731</v>
      </c>
      <c r="D21" s="10">
        <v>69620</v>
      </c>
      <c r="E21" s="26">
        <v>9974</v>
      </c>
      <c r="F21" s="10">
        <v>0</v>
      </c>
      <c r="G21" s="10" t="s">
        <v>105</v>
      </c>
      <c r="H21" s="10" t="s">
        <v>105</v>
      </c>
      <c r="I21" s="26">
        <v>7741</v>
      </c>
      <c r="J21" s="10">
        <v>0</v>
      </c>
      <c r="K21" s="10">
        <v>0</v>
      </c>
      <c r="L21" s="26">
        <v>7741</v>
      </c>
      <c r="M21" s="10">
        <v>0</v>
      </c>
      <c r="N21" s="10" t="s">
        <v>105</v>
      </c>
      <c r="O21" s="10">
        <v>57570</v>
      </c>
      <c r="P21" s="10">
        <v>2860</v>
      </c>
      <c r="Q21" s="11" t="s">
        <v>105</v>
      </c>
    </row>
    <row r="22" spans="1:17" ht="15.95" customHeight="1" x14ac:dyDescent="0.2">
      <c r="A22" s="15" t="s">
        <v>13</v>
      </c>
      <c r="B22" s="10">
        <v>749</v>
      </c>
      <c r="C22" s="10">
        <v>68845</v>
      </c>
      <c r="D22" s="10">
        <v>49079</v>
      </c>
      <c r="E22" s="27">
        <f>10701+339</f>
        <v>11040</v>
      </c>
      <c r="F22" s="10" t="s">
        <v>105</v>
      </c>
      <c r="G22" s="10">
        <v>0</v>
      </c>
      <c r="H22" s="10">
        <v>0</v>
      </c>
      <c r="I22" s="26">
        <v>4494</v>
      </c>
      <c r="J22" s="10" t="s">
        <v>105</v>
      </c>
      <c r="K22" s="10">
        <v>0</v>
      </c>
      <c r="L22" s="27">
        <f>4421+2091</f>
        <v>6512</v>
      </c>
      <c r="M22" s="10">
        <v>0</v>
      </c>
      <c r="N22" s="27">
        <f>4176+8958</f>
        <v>13134</v>
      </c>
      <c r="O22" s="10">
        <v>55029</v>
      </c>
      <c r="P22" s="27">
        <f>655+178</f>
        <v>833</v>
      </c>
      <c r="Q22" s="11">
        <v>0</v>
      </c>
    </row>
    <row r="23" spans="1:17" ht="15.95" customHeight="1" x14ac:dyDescent="0.2">
      <c r="A23" s="15" t="s">
        <v>14</v>
      </c>
      <c r="B23" s="26">
        <v>115</v>
      </c>
      <c r="C23" s="26">
        <v>11561</v>
      </c>
      <c r="D23" s="26">
        <v>8678</v>
      </c>
      <c r="E23" s="27" t="s">
        <v>105</v>
      </c>
      <c r="F23" s="10">
        <v>0</v>
      </c>
      <c r="G23" s="10" t="s">
        <v>105</v>
      </c>
      <c r="H23" s="10" t="s">
        <v>105</v>
      </c>
      <c r="I23" s="10" t="s">
        <v>105</v>
      </c>
      <c r="J23" s="10" t="s">
        <v>105</v>
      </c>
      <c r="K23" s="10">
        <v>0</v>
      </c>
      <c r="L23" s="10" t="s">
        <v>105</v>
      </c>
      <c r="M23" s="10">
        <v>0</v>
      </c>
      <c r="N23" s="10">
        <v>0</v>
      </c>
      <c r="O23" s="26">
        <v>7731</v>
      </c>
      <c r="P23" s="10" t="s">
        <v>105</v>
      </c>
      <c r="Q23" s="11">
        <v>0</v>
      </c>
    </row>
    <row r="24" spans="1:17" ht="15.95" customHeight="1" x14ac:dyDescent="0.2">
      <c r="A24" s="15" t="s">
        <v>15</v>
      </c>
      <c r="B24" s="10">
        <f t="shared" ref="B24:O24" si="0">B15-(B16+B17+B18+B19+B20+B21+B22+B23)</f>
        <v>2795</v>
      </c>
      <c r="C24" s="10">
        <f t="shared" si="0"/>
        <v>220756</v>
      </c>
      <c r="D24" s="10">
        <f t="shared" si="0"/>
        <v>179236</v>
      </c>
      <c r="E24" s="10">
        <v>22268</v>
      </c>
      <c r="F24" s="26">
        <f>F15-(F17)</f>
        <v>5429</v>
      </c>
      <c r="G24" s="26">
        <v>585</v>
      </c>
      <c r="H24" s="26">
        <v>214</v>
      </c>
      <c r="I24" s="27">
        <f>7092+2216</f>
        <v>9308</v>
      </c>
      <c r="J24" s="26">
        <f>2271-1501</f>
        <v>770</v>
      </c>
      <c r="K24" s="10" t="s">
        <v>105</v>
      </c>
      <c r="L24" s="26">
        <f>L15-(L16+L17+L18+L19+L20+L21+L22)</f>
        <v>5089</v>
      </c>
      <c r="M24" s="10" t="s">
        <v>105</v>
      </c>
      <c r="N24" s="10" t="s">
        <v>105</v>
      </c>
      <c r="O24" s="10">
        <f t="shared" si="0"/>
        <v>144401</v>
      </c>
      <c r="P24" s="10">
        <v>3985</v>
      </c>
      <c r="Q24" s="26">
        <f>Q15-Q17</f>
        <v>981</v>
      </c>
    </row>
    <row r="25" spans="1:17" ht="15.95" customHeight="1" x14ac:dyDescent="0.2">
      <c r="A25" s="8" t="s">
        <v>16</v>
      </c>
      <c r="B25" s="12">
        <v>5981</v>
      </c>
      <c r="C25" s="12">
        <v>812462</v>
      </c>
      <c r="D25" s="12">
        <v>682947</v>
      </c>
      <c r="E25" s="12">
        <v>45323</v>
      </c>
      <c r="F25" s="12">
        <v>12556</v>
      </c>
      <c r="G25" s="17">
        <v>145</v>
      </c>
      <c r="H25" s="18">
        <v>74</v>
      </c>
      <c r="I25" s="12">
        <v>53330</v>
      </c>
      <c r="J25" s="17">
        <v>2524</v>
      </c>
      <c r="K25" s="12">
        <v>7197</v>
      </c>
      <c r="L25" s="12">
        <v>43609</v>
      </c>
      <c r="M25" s="17">
        <v>638</v>
      </c>
      <c r="N25" s="12">
        <v>18800</v>
      </c>
      <c r="O25" s="12">
        <v>465171</v>
      </c>
      <c r="P25" s="12">
        <v>32608</v>
      </c>
      <c r="Q25" s="13">
        <v>1714</v>
      </c>
    </row>
    <row r="26" spans="1:17" ht="15.95" customHeight="1" x14ac:dyDescent="0.2">
      <c r="A26" s="15" t="s">
        <v>93</v>
      </c>
      <c r="B26" s="10">
        <v>667</v>
      </c>
      <c r="C26" s="10">
        <v>76415</v>
      </c>
      <c r="D26" s="10">
        <v>70966</v>
      </c>
      <c r="E26" s="10" t="s">
        <v>105</v>
      </c>
      <c r="F26" s="10">
        <v>0</v>
      </c>
      <c r="G26" s="10">
        <v>0</v>
      </c>
      <c r="H26" s="10">
        <v>0</v>
      </c>
      <c r="I26" s="10" t="s">
        <v>105</v>
      </c>
      <c r="J26" s="10">
        <v>0</v>
      </c>
      <c r="K26" s="10">
        <v>0</v>
      </c>
      <c r="L26" s="10" t="s">
        <v>105</v>
      </c>
      <c r="M26" s="10">
        <v>0</v>
      </c>
      <c r="N26" s="10">
        <v>0</v>
      </c>
      <c r="O26" s="10">
        <v>48748</v>
      </c>
      <c r="P26" s="26">
        <v>769</v>
      </c>
      <c r="Q26" s="11" t="s">
        <v>105</v>
      </c>
    </row>
    <row r="27" spans="1:17" ht="15.95" customHeight="1" x14ac:dyDescent="0.2">
      <c r="A27" s="15" t="s">
        <v>17</v>
      </c>
      <c r="B27" s="10">
        <v>1219</v>
      </c>
      <c r="C27" s="10">
        <v>336478</v>
      </c>
      <c r="D27" s="10">
        <v>280557</v>
      </c>
      <c r="E27" s="27">
        <f>23775+2151+1382+14</f>
        <v>27322</v>
      </c>
      <c r="F27" s="27">
        <v>12556</v>
      </c>
      <c r="G27" s="27">
        <v>145</v>
      </c>
      <c r="H27" s="10">
        <v>0</v>
      </c>
      <c r="I27" s="27">
        <f>27714+3298+3225</f>
        <v>34237</v>
      </c>
      <c r="J27" s="27">
        <v>2524</v>
      </c>
      <c r="K27" s="27">
        <f>5562+449</f>
        <v>6011</v>
      </c>
      <c r="L27" s="27">
        <f>20862+3298</f>
        <v>24160</v>
      </c>
      <c r="M27" s="10" t="s">
        <v>105</v>
      </c>
      <c r="N27" s="27">
        <v>18800</v>
      </c>
      <c r="O27" s="10">
        <v>122973</v>
      </c>
      <c r="P27" s="10">
        <v>24567</v>
      </c>
      <c r="Q27" s="27">
        <v>1714</v>
      </c>
    </row>
    <row r="28" spans="1:17" ht="15.95" customHeight="1" x14ac:dyDescent="0.2">
      <c r="A28" s="15" t="s">
        <v>18</v>
      </c>
      <c r="B28" s="10">
        <v>1334</v>
      </c>
      <c r="C28" s="10">
        <v>140912</v>
      </c>
      <c r="D28" s="10">
        <v>130762</v>
      </c>
      <c r="E28" s="10" t="s">
        <v>105</v>
      </c>
      <c r="F28" s="10" t="s">
        <v>105</v>
      </c>
      <c r="G28" s="10">
        <v>0</v>
      </c>
      <c r="H28" s="10">
        <v>0</v>
      </c>
      <c r="I28" s="26">
        <v>2992</v>
      </c>
      <c r="J28" s="10">
        <v>0</v>
      </c>
      <c r="K28" s="10">
        <v>0</v>
      </c>
      <c r="L28" s="26">
        <v>2992</v>
      </c>
      <c r="M28" s="10">
        <v>0</v>
      </c>
      <c r="N28" s="10" t="s">
        <v>105</v>
      </c>
      <c r="O28" s="10">
        <v>110970</v>
      </c>
      <c r="P28" s="10">
        <v>5134</v>
      </c>
      <c r="Q28" s="11" t="s">
        <v>105</v>
      </c>
    </row>
    <row r="29" spans="1:17" ht="15.95" customHeight="1" x14ac:dyDescent="0.2">
      <c r="A29" s="15" t="s">
        <v>80</v>
      </c>
      <c r="B29" s="10">
        <v>632</v>
      </c>
      <c r="C29" s="10">
        <v>60000</v>
      </c>
      <c r="D29" s="10">
        <v>42366</v>
      </c>
      <c r="E29" s="26">
        <v>8110</v>
      </c>
      <c r="F29" s="10" t="s">
        <v>105</v>
      </c>
      <c r="G29" s="10">
        <v>0</v>
      </c>
      <c r="H29" s="10">
        <v>0</v>
      </c>
      <c r="I29" s="10" t="s">
        <v>105</v>
      </c>
      <c r="J29" s="10" t="s">
        <v>105</v>
      </c>
      <c r="K29" s="10" t="s">
        <v>105</v>
      </c>
      <c r="L29" s="10" t="s">
        <v>105</v>
      </c>
      <c r="M29" s="27">
        <v>638</v>
      </c>
      <c r="N29" s="10">
        <v>0</v>
      </c>
      <c r="O29" s="10">
        <v>36549</v>
      </c>
      <c r="P29" s="27">
        <f>516+24</f>
        <v>540</v>
      </c>
      <c r="Q29" s="11">
        <v>0</v>
      </c>
    </row>
    <row r="30" spans="1:17" ht="15.95" customHeight="1" x14ac:dyDescent="0.2">
      <c r="A30" s="15" t="s">
        <v>88</v>
      </c>
      <c r="B30" s="10">
        <v>507</v>
      </c>
      <c r="C30" s="10">
        <v>34920</v>
      </c>
      <c r="D30" s="10">
        <v>34821</v>
      </c>
      <c r="E30" s="10" t="s">
        <v>105</v>
      </c>
      <c r="F30" s="10">
        <v>0</v>
      </c>
      <c r="G30" s="10" t="s">
        <v>105</v>
      </c>
      <c r="H30" s="27">
        <v>74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23647</v>
      </c>
      <c r="P30" s="10" t="s">
        <v>105</v>
      </c>
      <c r="Q30" s="11">
        <v>0</v>
      </c>
    </row>
    <row r="31" spans="1:17" ht="15.95" customHeight="1" x14ac:dyDescent="0.2">
      <c r="A31" s="16" t="s">
        <v>19</v>
      </c>
      <c r="B31" s="10">
        <f t="shared" ref="B31:O31" si="1">B25-(B26+B27+B28+B29+B30)</f>
        <v>1622</v>
      </c>
      <c r="C31" s="10">
        <f t="shared" si="1"/>
        <v>163737</v>
      </c>
      <c r="D31" s="10">
        <f t="shared" si="1"/>
        <v>123475</v>
      </c>
      <c r="E31" s="26">
        <v>9891</v>
      </c>
      <c r="F31" s="10">
        <v>0</v>
      </c>
      <c r="G31" s="10" t="s">
        <v>105</v>
      </c>
      <c r="H31" s="10" t="s">
        <v>105</v>
      </c>
      <c r="I31" s="10">
        <v>16101</v>
      </c>
      <c r="J31" s="10">
        <v>0</v>
      </c>
      <c r="K31" s="26">
        <v>1186</v>
      </c>
      <c r="L31" s="27">
        <f>L25-(L27+L28)</f>
        <v>16457</v>
      </c>
      <c r="M31" s="10">
        <v>0</v>
      </c>
      <c r="N31" s="10" t="s">
        <v>105</v>
      </c>
      <c r="O31" s="10">
        <f t="shared" si="1"/>
        <v>122284</v>
      </c>
      <c r="P31" s="10">
        <v>1598</v>
      </c>
      <c r="Q31" s="11">
        <v>0</v>
      </c>
    </row>
    <row r="32" spans="1:17" ht="15.95" customHeight="1" x14ac:dyDescent="0.2">
      <c r="A32" s="8" t="s">
        <v>20</v>
      </c>
      <c r="B32" s="12">
        <v>125135</v>
      </c>
      <c r="C32" s="12">
        <v>13224097</v>
      </c>
      <c r="D32" s="12">
        <v>10638015</v>
      </c>
      <c r="E32" s="12">
        <v>997286</v>
      </c>
      <c r="F32" s="12">
        <v>352336</v>
      </c>
      <c r="G32" s="12">
        <v>12987</v>
      </c>
      <c r="H32" s="12">
        <v>6474</v>
      </c>
      <c r="I32" s="12">
        <v>1119043</v>
      </c>
      <c r="J32" s="12">
        <v>44113</v>
      </c>
      <c r="K32" s="12">
        <v>25929</v>
      </c>
      <c r="L32" s="12">
        <v>1049002</v>
      </c>
      <c r="M32" s="12">
        <v>1749</v>
      </c>
      <c r="N32" s="12">
        <v>108970</v>
      </c>
      <c r="O32" s="12">
        <v>8079346</v>
      </c>
      <c r="P32" s="12">
        <v>211109</v>
      </c>
      <c r="Q32" s="13">
        <v>11531</v>
      </c>
    </row>
    <row r="33" spans="1:17" ht="15.95" customHeight="1" x14ac:dyDescent="0.2">
      <c r="A33" s="15" t="s">
        <v>21</v>
      </c>
      <c r="B33" s="10">
        <v>1578</v>
      </c>
      <c r="C33" s="10">
        <v>138939</v>
      </c>
      <c r="D33" s="10">
        <v>114057</v>
      </c>
      <c r="E33" s="10">
        <v>16125</v>
      </c>
      <c r="F33" s="10">
        <v>0</v>
      </c>
      <c r="G33" s="10" t="s">
        <v>105</v>
      </c>
      <c r="H33" s="10" t="s">
        <v>105</v>
      </c>
      <c r="I33" s="26">
        <v>7408</v>
      </c>
      <c r="J33" s="10" t="s">
        <v>105</v>
      </c>
      <c r="K33" s="10" t="s">
        <v>105</v>
      </c>
      <c r="L33" s="26">
        <v>6933</v>
      </c>
      <c r="M33" s="10" t="s">
        <v>105</v>
      </c>
      <c r="N33" s="10" t="s">
        <v>105</v>
      </c>
      <c r="O33" s="10">
        <v>105637</v>
      </c>
      <c r="P33" s="10">
        <v>2603</v>
      </c>
      <c r="Q33" s="26">
        <v>246</v>
      </c>
    </row>
    <row r="34" spans="1:17" ht="15.95" customHeight="1" x14ac:dyDescent="0.2">
      <c r="A34" s="15" t="s">
        <v>22</v>
      </c>
      <c r="B34" s="10">
        <v>2053</v>
      </c>
      <c r="C34" s="10">
        <v>231869</v>
      </c>
      <c r="D34" s="10">
        <v>179413</v>
      </c>
      <c r="E34" s="26">
        <v>4828</v>
      </c>
      <c r="F34" s="27">
        <f>3601+6384</f>
        <v>9985</v>
      </c>
      <c r="G34" s="27">
        <f>2520+1120</f>
        <v>3640</v>
      </c>
      <c r="H34" s="10">
        <v>0</v>
      </c>
      <c r="I34" s="10">
        <v>35502</v>
      </c>
      <c r="J34" s="27">
        <f>2182+46</f>
        <v>2228</v>
      </c>
      <c r="K34" s="27">
        <f>1762+429+47</f>
        <v>2238</v>
      </c>
      <c r="L34" s="10">
        <v>31559</v>
      </c>
      <c r="M34" s="10">
        <v>0</v>
      </c>
      <c r="N34" s="27">
        <f>6004+253+4</f>
        <v>6261</v>
      </c>
      <c r="O34" s="10">
        <v>145141</v>
      </c>
      <c r="P34" s="10">
        <v>2606</v>
      </c>
      <c r="Q34" s="26">
        <v>110</v>
      </c>
    </row>
    <row r="35" spans="1:17" ht="15.95" customHeight="1" x14ac:dyDescent="0.2">
      <c r="A35" s="15" t="s">
        <v>23</v>
      </c>
      <c r="B35" s="10">
        <v>1512</v>
      </c>
      <c r="C35" s="10">
        <v>107196</v>
      </c>
      <c r="D35" s="10">
        <v>79994</v>
      </c>
      <c r="E35" s="26">
        <v>13954</v>
      </c>
      <c r="F35" s="10" t="s">
        <v>105</v>
      </c>
      <c r="G35" s="10">
        <v>0</v>
      </c>
      <c r="H35" s="10">
        <v>0</v>
      </c>
      <c r="I35" s="10">
        <v>6859</v>
      </c>
      <c r="J35" s="26">
        <v>2965</v>
      </c>
      <c r="K35" s="26">
        <v>1879</v>
      </c>
      <c r="L35" s="10">
        <v>2015</v>
      </c>
      <c r="M35" s="10">
        <v>0</v>
      </c>
      <c r="N35" s="10" t="s">
        <v>105</v>
      </c>
      <c r="O35" s="10">
        <v>86150</v>
      </c>
      <c r="P35" s="26">
        <v>733</v>
      </c>
      <c r="Q35" s="11" t="s">
        <v>105</v>
      </c>
    </row>
    <row r="36" spans="1:17" ht="15.95" customHeight="1" x14ac:dyDescent="0.2">
      <c r="A36" s="15" t="s">
        <v>24</v>
      </c>
      <c r="B36" s="10">
        <v>1686</v>
      </c>
      <c r="C36" s="10">
        <v>205594</v>
      </c>
      <c r="D36" s="10">
        <v>194890</v>
      </c>
      <c r="E36" s="26">
        <v>4967</v>
      </c>
      <c r="F36" s="10">
        <v>0</v>
      </c>
      <c r="G36" s="10" t="s">
        <v>105</v>
      </c>
      <c r="H36" s="10" t="s">
        <v>105</v>
      </c>
      <c r="I36" s="26">
        <v>3135</v>
      </c>
      <c r="J36" s="10" t="s">
        <v>105</v>
      </c>
      <c r="K36" s="10" t="s">
        <v>105</v>
      </c>
      <c r="L36" s="26">
        <v>3029</v>
      </c>
      <c r="M36" s="10">
        <v>0</v>
      </c>
      <c r="N36" s="26">
        <v>2447</v>
      </c>
      <c r="O36" s="10">
        <v>137700</v>
      </c>
      <c r="P36" s="10">
        <v>3143</v>
      </c>
      <c r="Q36" s="11" t="s">
        <v>105</v>
      </c>
    </row>
    <row r="37" spans="1:17" ht="15.95" customHeight="1" x14ac:dyDescent="0.2">
      <c r="A37" s="15" t="s">
        <v>25</v>
      </c>
      <c r="B37" s="10">
        <v>955</v>
      </c>
      <c r="C37" s="10">
        <v>79431</v>
      </c>
      <c r="D37" s="10">
        <v>68837</v>
      </c>
      <c r="E37" s="10" t="s">
        <v>105</v>
      </c>
      <c r="F37" s="10">
        <v>0</v>
      </c>
      <c r="G37" s="10" t="s">
        <v>105</v>
      </c>
      <c r="H37" s="10">
        <v>0</v>
      </c>
      <c r="I37" s="26">
        <v>6047</v>
      </c>
      <c r="J37" s="10" t="s">
        <v>105</v>
      </c>
      <c r="K37" s="10">
        <v>0</v>
      </c>
      <c r="L37" s="26">
        <v>6040</v>
      </c>
      <c r="M37" s="10">
        <v>0</v>
      </c>
      <c r="N37" s="10" t="s">
        <v>105</v>
      </c>
      <c r="O37" s="10">
        <v>67428</v>
      </c>
      <c r="P37" s="26">
        <v>729</v>
      </c>
      <c r="Q37" s="11">
        <v>0</v>
      </c>
    </row>
    <row r="38" spans="1:17" ht="15.95" customHeight="1" x14ac:dyDescent="0.2">
      <c r="A38" s="15" t="s">
        <v>26</v>
      </c>
      <c r="B38" s="10">
        <v>11719</v>
      </c>
      <c r="C38" s="10">
        <v>1066012</v>
      </c>
      <c r="D38" s="10">
        <v>855058</v>
      </c>
      <c r="E38" s="27">
        <f>92261+3898</f>
        <v>96159</v>
      </c>
      <c r="F38" s="10">
        <v>41612</v>
      </c>
      <c r="G38" s="10" t="s">
        <v>105</v>
      </c>
      <c r="H38" s="10" t="s">
        <v>105</v>
      </c>
      <c r="I38" s="10">
        <v>68667</v>
      </c>
      <c r="J38" s="27">
        <f>1573+60+7</f>
        <v>1640</v>
      </c>
      <c r="K38" s="26">
        <v>1832</v>
      </c>
      <c r="L38" s="10">
        <v>65262</v>
      </c>
      <c r="M38" s="10">
        <v>0</v>
      </c>
      <c r="N38" s="27">
        <f>7461+645</f>
        <v>8106</v>
      </c>
      <c r="O38" s="10">
        <v>676641</v>
      </c>
      <c r="P38" s="10">
        <v>17184</v>
      </c>
      <c r="Q38" s="27">
        <f>724+12</f>
        <v>736</v>
      </c>
    </row>
    <row r="39" spans="1:17" ht="15.95" customHeight="1" x14ac:dyDescent="0.2">
      <c r="A39" s="15" t="s">
        <v>27</v>
      </c>
      <c r="B39" s="10">
        <v>22683</v>
      </c>
      <c r="C39" s="10">
        <v>1975011</v>
      </c>
      <c r="D39" s="10">
        <v>1629698</v>
      </c>
      <c r="E39" s="10">
        <v>185202</v>
      </c>
      <c r="F39" s="27">
        <f>43390+3630</f>
        <v>47020</v>
      </c>
      <c r="G39" s="27">
        <f>1397+155+5+954+6</f>
        <v>2517</v>
      </c>
      <c r="H39" s="10">
        <v>0</v>
      </c>
      <c r="I39" s="27">
        <f>95972+415</f>
        <v>96387</v>
      </c>
      <c r="J39" s="27">
        <f>4914+358+69+16</f>
        <v>5357</v>
      </c>
      <c r="K39" s="27">
        <f>5482+10+148+94</f>
        <v>5734</v>
      </c>
      <c r="L39" s="27">
        <f>85575+48</f>
        <v>85623</v>
      </c>
      <c r="M39" s="10">
        <v>0</v>
      </c>
      <c r="N39" s="27">
        <f>20522+829</f>
        <v>21351</v>
      </c>
      <c r="O39" s="10">
        <v>1424783</v>
      </c>
      <c r="P39" s="10">
        <v>31745</v>
      </c>
      <c r="Q39" s="11">
        <v>1775</v>
      </c>
    </row>
    <row r="40" spans="1:17" ht="15.95" customHeight="1" x14ac:dyDescent="0.2">
      <c r="A40" s="15" t="s">
        <v>28</v>
      </c>
      <c r="B40" s="10">
        <v>1084</v>
      </c>
      <c r="C40" s="10">
        <v>63175</v>
      </c>
      <c r="D40" s="10">
        <v>59777</v>
      </c>
      <c r="E40" s="26">
        <v>2147</v>
      </c>
      <c r="F40" s="10">
        <v>0</v>
      </c>
      <c r="G40" s="10" t="s">
        <v>105</v>
      </c>
      <c r="H40" s="10">
        <v>0</v>
      </c>
      <c r="I40" s="10" t="s">
        <v>105</v>
      </c>
      <c r="J40" s="10" t="s">
        <v>105</v>
      </c>
      <c r="K40" s="10" t="s">
        <v>105</v>
      </c>
      <c r="L40" s="10" t="s">
        <v>105</v>
      </c>
      <c r="M40" s="10">
        <v>0</v>
      </c>
      <c r="N40" s="10" t="s">
        <v>105</v>
      </c>
      <c r="O40" s="10">
        <v>51548</v>
      </c>
      <c r="P40" s="26">
        <v>769</v>
      </c>
      <c r="Q40" s="11">
        <v>0</v>
      </c>
    </row>
    <row r="41" spans="1:17" ht="15.95" customHeight="1" x14ac:dyDescent="0.2">
      <c r="A41" s="15" t="s">
        <v>29</v>
      </c>
      <c r="B41" s="10">
        <v>614</v>
      </c>
      <c r="C41" s="10">
        <v>57140</v>
      </c>
      <c r="D41" s="10">
        <v>43918</v>
      </c>
      <c r="E41" s="26">
        <v>5004</v>
      </c>
      <c r="F41" s="10">
        <v>0</v>
      </c>
      <c r="G41" s="10">
        <v>0</v>
      </c>
      <c r="H41" s="10">
        <v>0</v>
      </c>
      <c r="I41" s="26">
        <v>8218</v>
      </c>
      <c r="J41" s="10" t="s">
        <v>105</v>
      </c>
      <c r="K41" s="10" t="s">
        <v>105</v>
      </c>
      <c r="L41" s="26">
        <v>8000</v>
      </c>
      <c r="M41" s="10">
        <v>0</v>
      </c>
      <c r="N41" s="10">
        <v>0</v>
      </c>
      <c r="O41" s="10">
        <v>40122</v>
      </c>
      <c r="P41" s="26">
        <v>271</v>
      </c>
      <c r="Q41" s="11">
        <v>0</v>
      </c>
    </row>
    <row r="42" spans="1:17" ht="15.95" customHeight="1" x14ac:dyDescent="0.2">
      <c r="A42" s="15" t="s">
        <v>30</v>
      </c>
      <c r="B42" s="10">
        <v>3468</v>
      </c>
      <c r="C42" s="10">
        <v>272322</v>
      </c>
      <c r="D42" s="10">
        <v>230908</v>
      </c>
      <c r="E42" s="10">
        <v>25952</v>
      </c>
      <c r="F42" s="10">
        <v>0</v>
      </c>
      <c r="G42" s="10">
        <v>0</v>
      </c>
      <c r="H42" s="10">
        <v>0</v>
      </c>
      <c r="I42" s="10">
        <v>14769</v>
      </c>
      <c r="J42" s="10" t="s">
        <v>105</v>
      </c>
      <c r="K42" s="10">
        <v>0</v>
      </c>
      <c r="L42" s="10">
        <v>14753</v>
      </c>
      <c r="M42" s="10">
        <v>0</v>
      </c>
      <c r="N42" s="26">
        <v>751</v>
      </c>
      <c r="O42" s="10">
        <v>207539</v>
      </c>
      <c r="P42" s="10">
        <v>2781</v>
      </c>
      <c r="Q42" s="11" t="s">
        <v>105</v>
      </c>
    </row>
    <row r="43" spans="1:17" ht="15.95" customHeight="1" x14ac:dyDescent="0.2">
      <c r="A43" s="15" t="s">
        <v>31</v>
      </c>
      <c r="B43" s="10">
        <v>5079</v>
      </c>
      <c r="C43" s="10">
        <v>471997</v>
      </c>
      <c r="D43" s="10">
        <v>330978</v>
      </c>
      <c r="E43" s="10">
        <v>93841</v>
      </c>
      <c r="F43" s="10" t="s">
        <v>105</v>
      </c>
      <c r="G43" s="27">
        <f>1394+53+33</f>
        <v>1480</v>
      </c>
      <c r="H43" s="10" t="s">
        <v>105</v>
      </c>
      <c r="I43" s="10">
        <v>40753</v>
      </c>
      <c r="J43" s="26">
        <v>1638</v>
      </c>
      <c r="K43" s="26">
        <v>389</v>
      </c>
      <c r="L43" s="10">
        <v>38727</v>
      </c>
      <c r="M43" s="27">
        <v>1749</v>
      </c>
      <c r="N43" s="26">
        <v>2399</v>
      </c>
      <c r="O43" s="10">
        <v>320194</v>
      </c>
      <c r="P43" s="10">
        <v>3812</v>
      </c>
      <c r="Q43" s="27">
        <f>304+15+250</f>
        <v>569</v>
      </c>
    </row>
    <row r="44" spans="1:17" ht="15.95" customHeight="1" x14ac:dyDescent="0.2">
      <c r="A44" s="15" t="s">
        <v>32</v>
      </c>
      <c r="B44" s="10">
        <v>591</v>
      </c>
      <c r="C44" s="10">
        <v>85111</v>
      </c>
      <c r="D44" s="10">
        <v>78813</v>
      </c>
      <c r="E44" s="26">
        <v>269</v>
      </c>
      <c r="F44" s="10">
        <v>0</v>
      </c>
      <c r="G44" s="10" t="s">
        <v>105</v>
      </c>
      <c r="H44" s="10" t="s">
        <v>105</v>
      </c>
      <c r="I44" s="10">
        <v>5433</v>
      </c>
      <c r="J44" s="10" t="s">
        <v>105</v>
      </c>
      <c r="K44" s="10" t="s">
        <v>105</v>
      </c>
      <c r="L44" s="26">
        <v>5197</v>
      </c>
      <c r="M44" s="10">
        <v>0</v>
      </c>
      <c r="N44" s="10" t="s">
        <v>105</v>
      </c>
      <c r="O44" s="10">
        <v>55897</v>
      </c>
      <c r="P44" s="10">
        <v>2719</v>
      </c>
      <c r="Q44" s="11" t="s">
        <v>105</v>
      </c>
    </row>
    <row r="45" spans="1:17" ht="15.95" customHeight="1" x14ac:dyDescent="0.2">
      <c r="A45" s="15" t="s">
        <v>33</v>
      </c>
      <c r="B45" s="10">
        <v>7273</v>
      </c>
      <c r="C45" s="10">
        <v>704814</v>
      </c>
      <c r="D45" s="10">
        <v>577983</v>
      </c>
      <c r="E45" s="10">
        <v>50135</v>
      </c>
      <c r="F45" s="26">
        <v>1708</v>
      </c>
      <c r="G45" s="10" t="s">
        <v>105</v>
      </c>
      <c r="H45" s="10">
        <v>0</v>
      </c>
      <c r="I45" s="10">
        <v>72107</v>
      </c>
      <c r="J45" s="27">
        <f>6579+142+268</f>
        <v>6989</v>
      </c>
      <c r="K45" s="26">
        <v>245</v>
      </c>
      <c r="L45" s="10">
        <v>65283</v>
      </c>
      <c r="M45" s="10">
        <v>0</v>
      </c>
      <c r="N45" s="27">
        <f>3018+544+4241+1103</f>
        <v>8906</v>
      </c>
      <c r="O45" s="10">
        <v>479714</v>
      </c>
      <c r="P45" s="10">
        <v>7015</v>
      </c>
      <c r="Q45" s="26">
        <v>177</v>
      </c>
    </row>
    <row r="46" spans="1:17" ht="15.95" customHeight="1" x14ac:dyDescent="0.2">
      <c r="A46" s="15" t="s">
        <v>34</v>
      </c>
      <c r="B46" s="10">
        <v>2681</v>
      </c>
      <c r="C46" s="10">
        <v>228709</v>
      </c>
      <c r="D46" s="10">
        <v>203290</v>
      </c>
      <c r="E46" s="26">
        <v>18326</v>
      </c>
      <c r="F46" s="10">
        <v>0</v>
      </c>
      <c r="G46" s="10">
        <v>0</v>
      </c>
      <c r="H46" s="10">
        <v>0</v>
      </c>
      <c r="I46" s="26">
        <v>2852</v>
      </c>
      <c r="J46" s="10" t="s">
        <v>105</v>
      </c>
      <c r="K46" s="10" t="s">
        <v>105</v>
      </c>
      <c r="L46" s="26">
        <v>2211</v>
      </c>
      <c r="M46" s="10">
        <v>0</v>
      </c>
      <c r="N46" s="10" t="s">
        <v>105</v>
      </c>
      <c r="O46" s="10">
        <v>182155</v>
      </c>
      <c r="P46" s="10">
        <v>1197</v>
      </c>
      <c r="Q46" s="11">
        <v>0</v>
      </c>
    </row>
    <row r="47" spans="1:17" ht="15.95" customHeight="1" x14ac:dyDescent="0.2">
      <c r="A47" s="15" t="s">
        <v>35</v>
      </c>
      <c r="B47" s="10">
        <v>748</v>
      </c>
      <c r="C47" s="10">
        <v>85333</v>
      </c>
      <c r="D47" s="10">
        <v>67069</v>
      </c>
      <c r="E47" s="26">
        <v>6828</v>
      </c>
      <c r="F47" s="10" t="s">
        <v>105</v>
      </c>
      <c r="G47" s="10">
        <v>0</v>
      </c>
      <c r="H47" s="10">
        <v>0</v>
      </c>
      <c r="I47" s="10">
        <v>10237</v>
      </c>
      <c r="J47" s="10">
        <v>560</v>
      </c>
      <c r="K47" s="27">
        <f>326+372+538</f>
        <v>1236</v>
      </c>
      <c r="L47" s="10">
        <v>9349</v>
      </c>
      <c r="M47" s="10">
        <v>0</v>
      </c>
      <c r="N47" s="10" t="s">
        <v>105</v>
      </c>
      <c r="O47" s="10">
        <v>42217</v>
      </c>
      <c r="P47" s="10">
        <v>867</v>
      </c>
      <c r="Q47" s="11">
        <v>0</v>
      </c>
    </row>
    <row r="48" spans="1:17" ht="15.95" customHeight="1" x14ac:dyDescent="0.2">
      <c r="A48" s="15" t="s">
        <v>104</v>
      </c>
      <c r="B48" s="10">
        <v>602</v>
      </c>
      <c r="C48" s="10">
        <v>48501</v>
      </c>
      <c r="D48" s="10">
        <v>26229</v>
      </c>
      <c r="E48" s="26">
        <v>15714</v>
      </c>
      <c r="F48" s="10" t="s">
        <v>105</v>
      </c>
      <c r="G48" s="10">
        <v>0</v>
      </c>
      <c r="H48" s="10">
        <v>0</v>
      </c>
      <c r="I48" s="10" t="s">
        <v>105</v>
      </c>
      <c r="J48" s="10">
        <v>0</v>
      </c>
      <c r="K48" s="10" t="s">
        <v>105</v>
      </c>
      <c r="L48" s="10" t="s">
        <v>105</v>
      </c>
      <c r="M48" s="10">
        <v>0</v>
      </c>
      <c r="N48" s="10">
        <v>0</v>
      </c>
      <c r="O48" s="10">
        <v>26353</v>
      </c>
      <c r="P48" s="10" t="s">
        <v>105</v>
      </c>
      <c r="Q48" s="11" t="s">
        <v>105</v>
      </c>
    </row>
    <row r="49" spans="1:17" ht="15.95" customHeight="1" x14ac:dyDescent="0.2">
      <c r="A49" s="15" t="s">
        <v>36</v>
      </c>
      <c r="B49" s="10">
        <v>1286</v>
      </c>
      <c r="C49" s="10">
        <v>176246</v>
      </c>
      <c r="D49" s="10">
        <v>130642</v>
      </c>
      <c r="E49" s="10">
        <v>10524</v>
      </c>
      <c r="F49" s="27">
        <f>9759+96+4411</f>
        <v>14266</v>
      </c>
      <c r="G49" s="10" t="s">
        <v>105</v>
      </c>
      <c r="H49" s="10" t="s">
        <v>105</v>
      </c>
      <c r="I49" s="27">
        <f>24211+2147</f>
        <v>26358</v>
      </c>
      <c r="J49" s="26">
        <v>2832</v>
      </c>
      <c r="K49" s="26">
        <v>882</v>
      </c>
      <c r="L49" s="27">
        <f>20496+1609</f>
        <v>22105</v>
      </c>
      <c r="M49" s="10" t="s">
        <v>105</v>
      </c>
      <c r="N49" s="10" t="s">
        <v>105</v>
      </c>
      <c r="O49" s="10">
        <v>75360</v>
      </c>
      <c r="P49" s="27">
        <f>5122+185</f>
        <v>5307</v>
      </c>
      <c r="Q49" s="27">
        <f>141+37</f>
        <v>178</v>
      </c>
    </row>
    <row r="50" spans="1:17" ht="15.95" customHeight="1" x14ac:dyDescent="0.2">
      <c r="A50" s="15" t="s">
        <v>37</v>
      </c>
      <c r="B50" s="10">
        <v>4123</v>
      </c>
      <c r="C50" s="10">
        <v>353046</v>
      </c>
      <c r="D50" s="10">
        <v>263295</v>
      </c>
      <c r="E50" s="10">
        <v>59763</v>
      </c>
      <c r="F50" s="27">
        <f>11860+7003+138</f>
        <v>19001</v>
      </c>
      <c r="G50" s="27">
        <f>481+176+48</f>
        <v>705</v>
      </c>
      <c r="H50" s="10" t="s">
        <v>105</v>
      </c>
      <c r="I50" s="10">
        <v>16379</v>
      </c>
      <c r="J50" s="26">
        <v>1521</v>
      </c>
      <c r="K50" s="26">
        <v>935</v>
      </c>
      <c r="L50" s="10">
        <v>13922</v>
      </c>
      <c r="M50" s="10" t="s">
        <v>105</v>
      </c>
      <c r="N50" s="27">
        <f>1678+1110</f>
        <v>2788</v>
      </c>
      <c r="O50" s="10">
        <v>224017</v>
      </c>
      <c r="P50" s="10">
        <v>3687</v>
      </c>
      <c r="Q50" s="11">
        <v>2937</v>
      </c>
    </row>
    <row r="51" spans="1:17" ht="15.95" customHeight="1" x14ac:dyDescent="0.2">
      <c r="A51" s="15" t="s">
        <v>38</v>
      </c>
      <c r="B51" s="10">
        <v>3436</v>
      </c>
      <c r="C51" s="10">
        <v>266989</v>
      </c>
      <c r="D51" s="10">
        <v>251602</v>
      </c>
      <c r="E51" s="10">
        <v>13249</v>
      </c>
      <c r="F51" s="10">
        <v>0</v>
      </c>
      <c r="G51" s="10" t="s">
        <v>105</v>
      </c>
      <c r="H51" s="10">
        <v>0</v>
      </c>
      <c r="I51" s="26">
        <v>486</v>
      </c>
      <c r="J51" s="10">
        <v>0</v>
      </c>
      <c r="K51" s="10">
        <v>0</v>
      </c>
      <c r="L51" s="26">
        <v>486</v>
      </c>
      <c r="M51" s="10">
        <v>0</v>
      </c>
      <c r="N51" s="10" t="s">
        <v>105</v>
      </c>
      <c r="O51" s="10">
        <v>228173</v>
      </c>
      <c r="P51" s="10">
        <v>1116</v>
      </c>
      <c r="Q51" s="11" t="s">
        <v>105</v>
      </c>
    </row>
    <row r="52" spans="1:17" ht="15.95" customHeight="1" x14ac:dyDescent="0.2">
      <c r="A52" s="15" t="s">
        <v>39</v>
      </c>
      <c r="B52" s="10">
        <v>11067</v>
      </c>
      <c r="C52" s="10">
        <v>1634493</v>
      </c>
      <c r="D52" s="10">
        <v>1396834</v>
      </c>
      <c r="E52" s="10">
        <v>64459</v>
      </c>
      <c r="F52" s="10" t="s">
        <v>105</v>
      </c>
      <c r="G52" s="26">
        <v>467</v>
      </c>
      <c r="H52" s="10" t="s">
        <v>105</v>
      </c>
      <c r="I52" s="10">
        <v>146782</v>
      </c>
      <c r="J52" s="10">
        <v>6721</v>
      </c>
      <c r="K52" s="10">
        <v>2932</v>
      </c>
      <c r="L52" s="10">
        <v>137128</v>
      </c>
      <c r="M52" s="10">
        <v>0</v>
      </c>
      <c r="N52" s="27">
        <f>19138+1603</f>
        <v>20741</v>
      </c>
      <c r="O52" s="10">
        <v>944417</v>
      </c>
      <c r="P52" s="10">
        <v>50698</v>
      </c>
      <c r="Q52" s="27">
        <f>871+57</f>
        <v>928</v>
      </c>
    </row>
    <row r="53" spans="1:17" ht="15.95" customHeight="1" x14ac:dyDescent="0.2">
      <c r="A53" s="15" t="s">
        <v>40</v>
      </c>
      <c r="B53" s="10">
        <v>1528</v>
      </c>
      <c r="C53" s="10">
        <v>171646</v>
      </c>
      <c r="D53" s="10">
        <v>131284</v>
      </c>
      <c r="E53" s="26">
        <v>21318</v>
      </c>
      <c r="F53" s="10" t="s">
        <v>105</v>
      </c>
      <c r="G53" s="10">
        <v>0</v>
      </c>
      <c r="H53" s="10">
        <v>0</v>
      </c>
      <c r="I53" s="10">
        <v>18905</v>
      </c>
      <c r="J53" s="10">
        <v>0</v>
      </c>
      <c r="K53" s="10" t="s">
        <v>105</v>
      </c>
      <c r="L53" s="10">
        <v>17651</v>
      </c>
      <c r="M53" s="10" t="s">
        <v>105</v>
      </c>
      <c r="N53" s="10">
        <v>0</v>
      </c>
      <c r="O53" s="10">
        <v>111622</v>
      </c>
      <c r="P53" s="26">
        <v>510</v>
      </c>
      <c r="Q53" s="11">
        <v>0</v>
      </c>
    </row>
    <row r="54" spans="1:17" ht="15.95" customHeight="1" x14ac:dyDescent="0.2">
      <c r="A54" s="15" t="s">
        <v>41</v>
      </c>
      <c r="B54" s="10">
        <v>34885</v>
      </c>
      <c r="C54" s="10">
        <v>4447520</v>
      </c>
      <c r="D54" s="10">
        <v>3433626</v>
      </c>
      <c r="E54" s="10">
        <v>256375</v>
      </c>
      <c r="F54" s="10">
        <v>211199</v>
      </c>
      <c r="G54" s="10">
        <v>2439</v>
      </c>
      <c r="H54" s="27">
        <v>4750</v>
      </c>
      <c r="I54" s="10">
        <v>511181</v>
      </c>
      <c r="J54" s="10">
        <v>6231</v>
      </c>
      <c r="K54" s="27">
        <f>5082+1254</f>
        <v>6336</v>
      </c>
      <c r="L54" s="10">
        <v>499868</v>
      </c>
      <c r="M54" s="10">
        <v>0</v>
      </c>
      <c r="N54" s="10">
        <v>34042</v>
      </c>
      <c r="O54" s="10">
        <v>2201442</v>
      </c>
      <c r="P54" s="10">
        <v>66708</v>
      </c>
      <c r="Q54" s="27">
        <f>3852+23</f>
        <v>3875</v>
      </c>
    </row>
    <row r="55" spans="1:17" ht="15.95" customHeight="1" x14ac:dyDescent="0.2">
      <c r="A55" s="15" t="s">
        <v>42</v>
      </c>
      <c r="B55" s="10">
        <f t="shared" ref="B55:P55" si="2">B32-(SUM(B33:B54))</f>
        <v>4484</v>
      </c>
      <c r="C55" s="10">
        <f t="shared" si="2"/>
        <v>353003</v>
      </c>
      <c r="D55" s="10">
        <f t="shared" si="2"/>
        <v>289820</v>
      </c>
      <c r="E55" s="10">
        <f t="shared" si="2"/>
        <v>32147</v>
      </c>
      <c r="F55" s="10">
        <f t="shared" si="2"/>
        <v>7545</v>
      </c>
      <c r="G55" s="26">
        <f t="shared" si="2"/>
        <v>1739</v>
      </c>
      <c r="H55" s="26">
        <v>1724</v>
      </c>
      <c r="I55" s="10">
        <f t="shared" si="2"/>
        <v>20578</v>
      </c>
      <c r="J55" s="10">
        <f t="shared" si="2"/>
        <v>5431</v>
      </c>
      <c r="K55" s="10">
        <f t="shared" si="2"/>
        <v>1291</v>
      </c>
      <c r="L55" s="10">
        <f t="shared" si="2"/>
        <v>13861</v>
      </c>
      <c r="M55" s="10">
        <v>0</v>
      </c>
      <c r="N55" s="26">
        <f t="shared" si="2"/>
        <v>1178</v>
      </c>
      <c r="O55" s="10">
        <f t="shared" si="2"/>
        <v>245096</v>
      </c>
      <c r="P55" s="10">
        <f t="shared" si="2"/>
        <v>4909</v>
      </c>
      <c r="Q55" s="11" t="s">
        <v>105</v>
      </c>
    </row>
    <row r="56" spans="1:17" ht="15.95" customHeight="1" x14ac:dyDescent="0.2">
      <c r="A56" s="8" t="s">
        <v>43</v>
      </c>
      <c r="B56" s="12">
        <v>10079</v>
      </c>
      <c r="C56" s="12">
        <v>1081086</v>
      </c>
      <c r="D56" s="12">
        <v>885366</v>
      </c>
      <c r="E56" s="12">
        <v>50514</v>
      </c>
      <c r="F56" s="12">
        <v>11428</v>
      </c>
      <c r="G56" s="12">
        <v>4722</v>
      </c>
      <c r="H56" s="12">
        <v>3138</v>
      </c>
      <c r="I56" s="12">
        <v>110426</v>
      </c>
      <c r="J56" s="12">
        <v>6071</v>
      </c>
      <c r="K56" s="12">
        <v>9024</v>
      </c>
      <c r="L56" s="12">
        <v>95331</v>
      </c>
      <c r="M56" s="17">
        <v>709</v>
      </c>
      <c r="N56" s="12">
        <v>19339</v>
      </c>
      <c r="O56" s="12">
        <v>697711</v>
      </c>
      <c r="P56" s="12">
        <v>14122</v>
      </c>
      <c r="Q56" s="13">
        <v>1022</v>
      </c>
    </row>
    <row r="57" spans="1:17" ht="15.95" customHeight="1" x14ac:dyDescent="0.2">
      <c r="A57" s="15" t="s">
        <v>44</v>
      </c>
      <c r="B57" s="10">
        <v>115</v>
      </c>
      <c r="C57" s="10">
        <v>32864</v>
      </c>
      <c r="D57" s="10">
        <v>11872</v>
      </c>
      <c r="E57" s="10">
        <v>0</v>
      </c>
      <c r="F57" s="10">
        <v>0</v>
      </c>
      <c r="G57" s="10">
        <v>0</v>
      </c>
      <c r="H57" s="10">
        <v>0</v>
      </c>
      <c r="I57" s="10">
        <v>20992</v>
      </c>
      <c r="J57" s="26">
        <v>83</v>
      </c>
      <c r="K57" s="10" t="s">
        <v>105</v>
      </c>
      <c r="L57" s="10">
        <v>20872</v>
      </c>
      <c r="M57" s="10">
        <v>0</v>
      </c>
      <c r="N57" s="10">
        <v>0</v>
      </c>
      <c r="O57" s="10">
        <v>10051</v>
      </c>
      <c r="P57" s="26">
        <v>247</v>
      </c>
      <c r="Q57" s="11">
        <v>0</v>
      </c>
    </row>
    <row r="58" spans="1:17" ht="15.95" customHeight="1" x14ac:dyDescent="0.2">
      <c r="A58" s="15" t="s">
        <v>45</v>
      </c>
      <c r="B58" s="10">
        <v>850</v>
      </c>
      <c r="C58" s="10">
        <v>106161</v>
      </c>
      <c r="D58" s="10">
        <v>89187</v>
      </c>
      <c r="E58" s="26">
        <v>127</v>
      </c>
      <c r="F58" s="27">
        <f>3471+3238+122+3512</f>
        <v>10343</v>
      </c>
      <c r="G58" s="10">
        <v>0</v>
      </c>
      <c r="H58" s="10">
        <v>0</v>
      </c>
      <c r="I58" s="10">
        <v>13081</v>
      </c>
      <c r="J58" s="26">
        <v>429</v>
      </c>
      <c r="K58" s="27">
        <f>1412+36</f>
        <v>1448</v>
      </c>
      <c r="L58" s="26">
        <v>11241</v>
      </c>
      <c r="M58" s="10">
        <v>0</v>
      </c>
      <c r="N58" s="10" t="s">
        <v>105</v>
      </c>
      <c r="O58" s="10">
        <v>63175</v>
      </c>
      <c r="P58" s="10">
        <v>2139</v>
      </c>
      <c r="Q58" s="26">
        <f>37</f>
        <v>37</v>
      </c>
    </row>
    <row r="59" spans="1:17" ht="15.95" customHeight="1" x14ac:dyDescent="0.2">
      <c r="A59" s="15" t="s">
        <v>46</v>
      </c>
      <c r="B59" s="10">
        <v>1028</v>
      </c>
      <c r="C59" s="10">
        <v>109912</v>
      </c>
      <c r="D59" s="10">
        <v>78696</v>
      </c>
      <c r="E59" s="10">
        <v>15846</v>
      </c>
      <c r="F59" s="10" t="s">
        <v>105</v>
      </c>
      <c r="G59" s="10" t="s">
        <v>105</v>
      </c>
      <c r="H59" s="10" t="s">
        <v>105</v>
      </c>
      <c r="I59" s="27">
        <f>11734+159</f>
        <v>11893</v>
      </c>
      <c r="J59" s="26">
        <v>2145</v>
      </c>
      <c r="K59" s="27">
        <f>3599+618</f>
        <v>4217</v>
      </c>
      <c r="L59" s="26">
        <v>5989</v>
      </c>
      <c r="M59" s="10">
        <v>0</v>
      </c>
      <c r="N59" s="27">
        <f>379+294+51+1701</f>
        <v>2425</v>
      </c>
      <c r="O59" s="10">
        <v>71734</v>
      </c>
      <c r="P59" s="27">
        <f>1762+21</f>
        <v>1783</v>
      </c>
      <c r="Q59" s="11">
        <v>0</v>
      </c>
    </row>
    <row r="60" spans="1:17" ht="15.95" customHeight="1" x14ac:dyDescent="0.2">
      <c r="A60" s="15" t="s">
        <v>84</v>
      </c>
      <c r="B60" s="10">
        <v>678</v>
      </c>
      <c r="C60" s="10">
        <v>23692</v>
      </c>
      <c r="D60" s="10">
        <v>19848</v>
      </c>
      <c r="E60" s="10" t="s">
        <v>105</v>
      </c>
      <c r="F60" s="10" t="s">
        <v>105</v>
      </c>
      <c r="G60" s="10" t="s">
        <v>105</v>
      </c>
      <c r="H60" s="10" t="s">
        <v>105</v>
      </c>
      <c r="I60" s="10" t="s">
        <v>105</v>
      </c>
      <c r="J60" s="26">
        <v>0</v>
      </c>
      <c r="K60" s="10">
        <v>0</v>
      </c>
      <c r="L60" s="10" t="s">
        <v>105</v>
      </c>
      <c r="M60" s="10">
        <v>0</v>
      </c>
      <c r="N60" s="10" t="s">
        <v>105</v>
      </c>
      <c r="O60" s="10">
        <v>23213</v>
      </c>
      <c r="P60" s="10" t="s">
        <v>105</v>
      </c>
      <c r="Q60" s="11">
        <v>0</v>
      </c>
    </row>
    <row r="61" spans="1:17" ht="15.95" customHeight="1" x14ac:dyDescent="0.2">
      <c r="A61" s="15" t="s">
        <v>47</v>
      </c>
      <c r="B61" s="10">
        <v>567</v>
      </c>
      <c r="C61" s="10">
        <v>88240</v>
      </c>
      <c r="D61" s="10">
        <v>66616</v>
      </c>
      <c r="E61" s="10" t="s">
        <v>105</v>
      </c>
      <c r="F61" s="10" t="s">
        <v>105</v>
      </c>
      <c r="G61" s="27">
        <f>515+625+19</f>
        <v>1159</v>
      </c>
      <c r="H61" s="27">
        <f>291+625+19</f>
        <v>935</v>
      </c>
      <c r="I61" s="10">
        <v>15826</v>
      </c>
      <c r="J61" s="26">
        <v>704</v>
      </c>
      <c r="K61" s="10" t="s">
        <v>105</v>
      </c>
      <c r="L61" s="27">
        <f>14505+159</f>
        <v>14664</v>
      </c>
      <c r="M61" s="27">
        <v>92</v>
      </c>
      <c r="N61" s="10" t="s">
        <v>105</v>
      </c>
      <c r="O61" s="10">
        <v>45193</v>
      </c>
      <c r="P61" s="26">
        <v>1111</v>
      </c>
      <c r="Q61" s="11">
        <v>0</v>
      </c>
    </row>
    <row r="62" spans="1:17" ht="15.95" customHeight="1" x14ac:dyDescent="0.2">
      <c r="A62" s="15" t="s">
        <v>48</v>
      </c>
      <c r="B62" s="10">
        <v>1006</v>
      </c>
      <c r="C62" s="10">
        <v>111638</v>
      </c>
      <c r="D62" s="10">
        <v>75104</v>
      </c>
      <c r="E62" s="27">
        <f>14380+114+2886</f>
        <v>17380</v>
      </c>
      <c r="F62" s="10">
        <v>0</v>
      </c>
      <c r="G62" s="26">
        <v>184</v>
      </c>
      <c r="H62" s="26">
        <v>143</v>
      </c>
      <c r="I62" s="26">
        <v>9874</v>
      </c>
      <c r="J62" s="26">
        <v>175</v>
      </c>
      <c r="K62" s="26">
        <v>922</v>
      </c>
      <c r="L62" s="26">
        <v>8777</v>
      </c>
      <c r="M62" s="10" t="s">
        <v>105</v>
      </c>
      <c r="N62" s="26">
        <v>12144</v>
      </c>
      <c r="O62" s="10">
        <v>64017</v>
      </c>
      <c r="P62" s="10">
        <v>551</v>
      </c>
      <c r="Q62" s="11" t="s">
        <v>105</v>
      </c>
    </row>
    <row r="63" spans="1:17" ht="15.95" customHeight="1" x14ac:dyDescent="0.2">
      <c r="A63" s="15" t="s">
        <v>49</v>
      </c>
      <c r="B63" s="10">
        <f t="shared" ref="B63:Q63" si="3">B56-(SUM(B57:B62))</f>
        <v>5835</v>
      </c>
      <c r="C63" s="10">
        <f t="shared" si="3"/>
        <v>608579</v>
      </c>
      <c r="D63" s="10">
        <f t="shared" si="3"/>
        <v>544043</v>
      </c>
      <c r="E63" s="10">
        <f t="shared" si="3"/>
        <v>17161</v>
      </c>
      <c r="F63" s="26">
        <v>1085</v>
      </c>
      <c r="G63" s="26">
        <f t="shared" si="3"/>
        <v>3379</v>
      </c>
      <c r="H63" s="26">
        <f t="shared" si="3"/>
        <v>2060</v>
      </c>
      <c r="I63" s="10">
        <f t="shared" si="3"/>
        <v>38760</v>
      </c>
      <c r="J63" s="26">
        <f t="shared" si="3"/>
        <v>2535</v>
      </c>
      <c r="K63" s="26">
        <f t="shared" si="3"/>
        <v>2437</v>
      </c>
      <c r="L63" s="10">
        <f t="shared" si="3"/>
        <v>33788</v>
      </c>
      <c r="M63" s="26">
        <f t="shared" si="3"/>
        <v>617</v>
      </c>
      <c r="N63" s="26">
        <f t="shared" si="3"/>
        <v>4770</v>
      </c>
      <c r="O63" s="10">
        <f t="shared" si="3"/>
        <v>420328</v>
      </c>
      <c r="P63" s="10">
        <f t="shared" si="3"/>
        <v>8291</v>
      </c>
      <c r="Q63" s="27">
        <f t="shared" si="3"/>
        <v>985</v>
      </c>
    </row>
    <row r="64" spans="1:17" ht="15.95" customHeight="1" x14ac:dyDescent="0.2">
      <c r="A64" s="8" t="s">
        <v>50</v>
      </c>
      <c r="B64" s="12">
        <v>145083</v>
      </c>
      <c r="C64" s="12">
        <v>19299700</v>
      </c>
      <c r="D64" s="12">
        <v>15775382</v>
      </c>
      <c r="E64" s="12">
        <v>715389</v>
      </c>
      <c r="F64" s="12">
        <v>331211</v>
      </c>
      <c r="G64" s="12">
        <v>68851</v>
      </c>
      <c r="H64" s="12">
        <v>58463</v>
      </c>
      <c r="I64" s="12">
        <v>2169757</v>
      </c>
      <c r="J64" s="12">
        <v>95068</v>
      </c>
      <c r="K64" s="12">
        <v>153773</v>
      </c>
      <c r="L64" s="12">
        <v>1920917</v>
      </c>
      <c r="M64" s="12">
        <v>29701</v>
      </c>
      <c r="N64" s="12">
        <v>268968</v>
      </c>
      <c r="O64" s="12">
        <v>9968647</v>
      </c>
      <c r="P64" s="12">
        <v>572737</v>
      </c>
      <c r="Q64" s="13">
        <v>25384</v>
      </c>
    </row>
    <row r="65" spans="1:17" ht="15.95" customHeight="1" x14ac:dyDescent="0.2">
      <c r="A65" s="15" t="s">
        <v>82</v>
      </c>
      <c r="B65" s="10">
        <v>3495</v>
      </c>
      <c r="C65" s="10">
        <v>334636</v>
      </c>
      <c r="D65" s="10">
        <v>323680</v>
      </c>
      <c r="E65" s="10" t="s">
        <v>105</v>
      </c>
      <c r="F65" s="10">
        <v>0</v>
      </c>
      <c r="G65" s="10">
        <v>0</v>
      </c>
      <c r="H65" s="10">
        <v>0</v>
      </c>
      <c r="I65" s="10" t="s">
        <v>105</v>
      </c>
      <c r="J65" s="10">
        <v>0</v>
      </c>
      <c r="K65" s="10">
        <v>0</v>
      </c>
      <c r="L65" s="10" t="s">
        <v>105</v>
      </c>
      <c r="M65" s="10">
        <v>0</v>
      </c>
      <c r="N65" s="10">
        <v>0</v>
      </c>
      <c r="O65" s="10">
        <v>236058</v>
      </c>
      <c r="P65" s="10" t="s">
        <v>105</v>
      </c>
      <c r="Q65" s="11">
        <v>0</v>
      </c>
    </row>
    <row r="66" spans="1:17" ht="15.95" customHeight="1" x14ac:dyDescent="0.2">
      <c r="A66" s="15" t="s">
        <v>51</v>
      </c>
      <c r="B66" s="10">
        <v>16949</v>
      </c>
      <c r="C66" s="10">
        <v>2952677</v>
      </c>
      <c r="D66" s="10">
        <v>2510395</v>
      </c>
      <c r="E66" s="27">
        <f>48922+8231</f>
        <v>57153</v>
      </c>
      <c r="F66" s="10">
        <v>36656</v>
      </c>
      <c r="G66" s="10">
        <v>10261</v>
      </c>
      <c r="H66" s="10">
        <v>9777</v>
      </c>
      <c r="I66" s="27">
        <f>284588+2725</f>
        <v>287313</v>
      </c>
      <c r="J66" s="10">
        <v>11059</v>
      </c>
      <c r="K66" s="10">
        <v>16629</v>
      </c>
      <c r="L66" s="27">
        <f>256900+2725</f>
        <v>259625</v>
      </c>
      <c r="M66" s="27">
        <f>4655+11+6+64</f>
        <v>4736</v>
      </c>
      <c r="N66" s="10">
        <v>66510</v>
      </c>
      <c r="O66" s="10">
        <v>1234576</v>
      </c>
      <c r="P66" s="27">
        <f>59065+193</f>
        <v>59258</v>
      </c>
      <c r="Q66" s="11">
        <v>2228</v>
      </c>
    </row>
    <row r="67" spans="1:17" ht="15.95" customHeight="1" x14ac:dyDescent="0.2">
      <c r="A67" s="15" t="s">
        <v>89</v>
      </c>
      <c r="B67" s="10">
        <v>8989</v>
      </c>
      <c r="C67" s="10">
        <v>2529488</v>
      </c>
      <c r="D67" s="10">
        <v>1816964</v>
      </c>
      <c r="E67" s="10">
        <v>69493</v>
      </c>
      <c r="F67" s="10">
        <v>133654</v>
      </c>
      <c r="G67" s="10">
        <v>2723</v>
      </c>
      <c r="H67" s="10">
        <v>2692</v>
      </c>
      <c r="I67" s="10">
        <v>444561</v>
      </c>
      <c r="J67" s="10">
        <v>11783</v>
      </c>
      <c r="K67" s="10">
        <v>30543</v>
      </c>
      <c r="L67" s="10">
        <v>402234</v>
      </c>
      <c r="M67" s="26">
        <v>239</v>
      </c>
      <c r="N67" s="10">
        <f>62333</f>
        <v>62333</v>
      </c>
      <c r="O67" s="10">
        <v>768531</v>
      </c>
      <c r="P67" s="10">
        <v>145734</v>
      </c>
      <c r="Q67" s="11">
        <v>11051</v>
      </c>
    </row>
    <row r="68" spans="1:17" ht="15.95" customHeight="1" x14ac:dyDescent="0.2">
      <c r="A68" s="15" t="s">
        <v>52</v>
      </c>
      <c r="B68" s="10">
        <v>4449</v>
      </c>
      <c r="C68" s="10">
        <v>623109</v>
      </c>
      <c r="D68" s="10">
        <v>505362</v>
      </c>
      <c r="E68" s="10">
        <v>35872</v>
      </c>
      <c r="F68" s="26">
        <v>19992</v>
      </c>
      <c r="G68" s="26">
        <v>26</v>
      </c>
      <c r="H68" s="26">
        <v>18</v>
      </c>
      <c r="I68" s="10">
        <v>53516</v>
      </c>
      <c r="J68" s="26">
        <v>343</v>
      </c>
      <c r="K68" s="26">
        <v>562</v>
      </c>
      <c r="L68" s="10">
        <v>52611</v>
      </c>
      <c r="M68" s="10" t="s">
        <v>105</v>
      </c>
      <c r="N68" s="27">
        <f>8353+101</f>
        <v>8454</v>
      </c>
      <c r="O68" s="10">
        <v>301909</v>
      </c>
      <c r="P68" s="10">
        <v>4479</v>
      </c>
      <c r="Q68" s="26">
        <v>331</v>
      </c>
    </row>
    <row r="69" spans="1:17" ht="15.95" customHeight="1" x14ac:dyDescent="0.2">
      <c r="A69" s="15" t="s">
        <v>53</v>
      </c>
      <c r="B69" s="10">
        <v>1372</v>
      </c>
      <c r="C69" s="10">
        <v>117163</v>
      </c>
      <c r="D69" s="10">
        <v>95543</v>
      </c>
      <c r="E69" s="26">
        <v>14071</v>
      </c>
      <c r="F69" s="10">
        <v>0</v>
      </c>
      <c r="G69" s="10">
        <v>0</v>
      </c>
      <c r="H69" s="10">
        <v>0</v>
      </c>
      <c r="I69" s="26">
        <v>7449</v>
      </c>
      <c r="J69" s="10">
        <v>0</v>
      </c>
      <c r="K69" s="10">
        <v>0</v>
      </c>
      <c r="L69" s="26">
        <v>7449</v>
      </c>
      <c r="M69" s="10">
        <v>0</v>
      </c>
      <c r="N69" s="10" t="s">
        <v>105</v>
      </c>
      <c r="O69" s="10">
        <v>77858</v>
      </c>
      <c r="P69" s="26">
        <v>143</v>
      </c>
      <c r="Q69" s="11">
        <v>0</v>
      </c>
    </row>
    <row r="70" spans="1:17" ht="15.95" customHeight="1" x14ac:dyDescent="0.2">
      <c r="A70" s="15" t="s">
        <v>81</v>
      </c>
      <c r="B70" s="10">
        <v>4374</v>
      </c>
      <c r="C70" s="10">
        <v>530194</v>
      </c>
      <c r="D70" s="10">
        <v>516993</v>
      </c>
      <c r="E70" s="10" t="s">
        <v>105</v>
      </c>
      <c r="F70" s="10">
        <v>0</v>
      </c>
      <c r="G70" s="10">
        <v>0</v>
      </c>
      <c r="H70" s="10">
        <v>0</v>
      </c>
      <c r="I70" s="26">
        <v>11941</v>
      </c>
      <c r="J70" s="10" t="s">
        <v>105</v>
      </c>
      <c r="K70" s="10" t="s">
        <v>105</v>
      </c>
      <c r="L70" s="26">
        <v>10032</v>
      </c>
      <c r="M70" s="10">
        <v>0</v>
      </c>
      <c r="N70" s="10">
        <v>0</v>
      </c>
      <c r="O70" s="10">
        <v>388548</v>
      </c>
      <c r="P70" s="26">
        <v>709</v>
      </c>
      <c r="Q70" s="11">
        <v>0</v>
      </c>
    </row>
    <row r="71" spans="1:17" ht="15.95" customHeight="1" x14ac:dyDescent="0.2">
      <c r="A71" s="15" t="s">
        <v>54</v>
      </c>
      <c r="B71" s="10">
        <v>17750</v>
      </c>
      <c r="C71" s="10">
        <v>1324606</v>
      </c>
      <c r="D71" s="10">
        <v>1201916</v>
      </c>
      <c r="E71" s="27">
        <f>92239+1259</f>
        <v>93498</v>
      </c>
      <c r="F71" s="26">
        <v>3487</v>
      </c>
      <c r="G71" s="26">
        <v>35</v>
      </c>
      <c r="H71" s="10">
        <v>0</v>
      </c>
      <c r="I71" s="10">
        <v>10417</v>
      </c>
      <c r="J71" s="10" t="s">
        <v>105</v>
      </c>
      <c r="K71" s="10" t="s">
        <v>105</v>
      </c>
      <c r="L71" s="10">
        <v>9987</v>
      </c>
      <c r="M71" s="10" t="s">
        <v>105</v>
      </c>
      <c r="N71" s="10">
        <v>16582</v>
      </c>
      <c r="O71" s="10">
        <v>1013413</v>
      </c>
      <c r="P71" s="10">
        <v>3090</v>
      </c>
      <c r="Q71" s="26">
        <v>296</v>
      </c>
    </row>
    <row r="72" spans="1:17" ht="15.95" customHeight="1" x14ac:dyDescent="0.2">
      <c r="A72" s="15" t="s">
        <v>55</v>
      </c>
      <c r="B72" s="10">
        <v>21227</v>
      </c>
      <c r="C72" s="10">
        <v>1864128</v>
      </c>
      <c r="D72" s="10">
        <v>1451985</v>
      </c>
      <c r="E72" s="27">
        <f>101041+951</f>
        <v>101992</v>
      </c>
      <c r="F72" s="27">
        <f>48753+5472+1501+1526</f>
        <v>57252</v>
      </c>
      <c r="G72" s="26">
        <v>2807</v>
      </c>
      <c r="H72" s="26">
        <v>2752</v>
      </c>
      <c r="I72" s="10">
        <v>234824</v>
      </c>
      <c r="J72" s="27">
        <f>4458+1769+426+797</f>
        <v>7450</v>
      </c>
      <c r="K72" s="27">
        <f>9121+141+4</f>
        <v>9266</v>
      </c>
      <c r="L72" s="10">
        <v>221244</v>
      </c>
      <c r="M72" s="10" t="s">
        <v>105</v>
      </c>
      <c r="N72" s="10">
        <v>24783</v>
      </c>
      <c r="O72" s="10">
        <v>1193300</v>
      </c>
      <c r="P72" s="10">
        <v>43158</v>
      </c>
      <c r="Q72" s="27">
        <f>2315+103+396</f>
        <v>2814</v>
      </c>
    </row>
    <row r="73" spans="1:17" ht="15.95" customHeight="1" x14ac:dyDescent="0.2">
      <c r="A73" s="15" t="s">
        <v>85</v>
      </c>
      <c r="B73" s="10">
        <v>4331</v>
      </c>
      <c r="C73" s="10">
        <v>472076</v>
      </c>
      <c r="D73" s="10">
        <v>435614</v>
      </c>
      <c r="E73" s="10" t="s">
        <v>105</v>
      </c>
      <c r="F73" s="10">
        <v>0</v>
      </c>
      <c r="G73" s="26">
        <v>4624</v>
      </c>
      <c r="H73" s="26">
        <v>2283</v>
      </c>
      <c r="I73" s="10">
        <v>30887</v>
      </c>
      <c r="J73" s="26">
        <v>1307</v>
      </c>
      <c r="K73" s="26">
        <v>772</v>
      </c>
      <c r="L73" s="10">
        <v>28808</v>
      </c>
      <c r="M73" s="10">
        <v>0</v>
      </c>
      <c r="N73" s="10">
        <v>0</v>
      </c>
      <c r="O73" s="10">
        <v>368618</v>
      </c>
      <c r="P73" s="10">
        <v>13738</v>
      </c>
      <c r="Q73" s="11" t="s">
        <v>105</v>
      </c>
    </row>
    <row r="74" spans="1:17" ht="15.95" customHeight="1" x14ac:dyDescent="0.2">
      <c r="A74" s="15" t="s">
        <v>86</v>
      </c>
      <c r="B74" s="10">
        <v>1522</v>
      </c>
      <c r="C74" s="10">
        <v>144113</v>
      </c>
      <c r="D74" s="10">
        <v>131934</v>
      </c>
      <c r="E74" s="26">
        <v>5076</v>
      </c>
      <c r="F74" s="10" t="s">
        <v>105</v>
      </c>
      <c r="G74" s="10">
        <v>0</v>
      </c>
      <c r="H74" s="10">
        <v>0</v>
      </c>
      <c r="I74" s="26">
        <v>1632</v>
      </c>
      <c r="J74" s="10" t="s">
        <v>105</v>
      </c>
      <c r="K74" s="10">
        <v>0</v>
      </c>
      <c r="L74" s="10" t="s">
        <v>105</v>
      </c>
      <c r="M74" s="10">
        <v>0</v>
      </c>
      <c r="N74" s="10">
        <v>0</v>
      </c>
      <c r="O74" s="10">
        <v>107157</v>
      </c>
      <c r="P74" s="26">
        <v>1103</v>
      </c>
      <c r="Q74" s="11" t="s">
        <v>105</v>
      </c>
    </row>
    <row r="75" spans="1:17" ht="15.95" customHeight="1" x14ac:dyDescent="0.2">
      <c r="A75" s="15" t="s">
        <v>56</v>
      </c>
      <c r="B75" s="10">
        <v>1209</v>
      </c>
      <c r="C75" s="10">
        <v>154894</v>
      </c>
      <c r="D75" s="10">
        <v>111199</v>
      </c>
      <c r="E75" s="10">
        <v>17104</v>
      </c>
      <c r="F75" s="10" t="s">
        <v>105</v>
      </c>
      <c r="G75" s="10" t="s">
        <v>105</v>
      </c>
      <c r="H75" s="10" t="s">
        <v>105</v>
      </c>
      <c r="I75" s="10">
        <v>25045</v>
      </c>
      <c r="J75" s="26">
        <v>592</v>
      </c>
      <c r="K75" s="26">
        <v>803</v>
      </c>
      <c r="L75" s="27">
        <f>23650+835</f>
        <v>24485</v>
      </c>
      <c r="M75" s="10">
        <v>0</v>
      </c>
      <c r="N75" s="10">
        <v>0</v>
      </c>
      <c r="O75" s="10">
        <v>77619</v>
      </c>
      <c r="P75" s="10">
        <v>1613</v>
      </c>
      <c r="Q75" s="11">
        <v>0</v>
      </c>
    </row>
    <row r="76" spans="1:17" ht="15.95" customHeight="1" x14ac:dyDescent="0.2">
      <c r="A76" s="15" t="s">
        <v>57</v>
      </c>
      <c r="B76" s="10">
        <v>2114</v>
      </c>
      <c r="C76" s="10">
        <v>212373</v>
      </c>
      <c r="D76" s="10">
        <v>184053</v>
      </c>
      <c r="E76" s="10">
        <v>3222</v>
      </c>
      <c r="F76" s="10">
        <v>0</v>
      </c>
      <c r="G76" s="10">
        <v>0</v>
      </c>
      <c r="H76" s="10">
        <v>0</v>
      </c>
      <c r="I76" s="10">
        <v>25033</v>
      </c>
      <c r="J76" s="26">
        <v>1045</v>
      </c>
      <c r="K76" s="26">
        <v>644</v>
      </c>
      <c r="L76" s="10">
        <v>23345</v>
      </c>
      <c r="M76" s="10" t="s">
        <v>105</v>
      </c>
      <c r="N76" s="26">
        <v>91</v>
      </c>
      <c r="O76" s="10">
        <v>108227</v>
      </c>
      <c r="P76" s="10">
        <v>2664</v>
      </c>
      <c r="Q76" s="26">
        <v>402</v>
      </c>
    </row>
    <row r="77" spans="1:17" ht="15.95" customHeight="1" x14ac:dyDescent="0.2">
      <c r="A77" s="15" t="s">
        <v>87</v>
      </c>
      <c r="B77" s="10">
        <v>2928</v>
      </c>
      <c r="C77" s="10">
        <v>408662</v>
      </c>
      <c r="D77" s="10">
        <v>270727</v>
      </c>
      <c r="E77" s="26">
        <v>7122</v>
      </c>
      <c r="F77" s="10" t="s">
        <v>105</v>
      </c>
      <c r="G77" s="27">
        <f>5711+44</f>
        <v>5755</v>
      </c>
      <c r="H77" s="27">
        <f>5711+44</f>
        <v>5755</v>
      </c>
      <c r="I77" s="10">
        <v>128035</v>
      </c>
      <c r="J77" s="26">
        <v>9425</v>
      </c>
      <c r="K77" s="10">
        <v>23474</v>
      </c>
      <c r="L77" s="10">
        <v>95136</v>
      </c>
      <c r="M77" s="10" t="s">
        <v>105</v>
      </c>
      <c r="N77" s="10" t="s">
        <v>105</v>
      </c>
      <c r="O77" s="10">
        <v>238344</v>
      </c>
      <c r="P77" s="10">
        <v>25144</v>
      </c>
      <c r="Q77" s="26">
        <v>237</v>
      </c>
    </row>
    <row r="78" spans="1:17" ht="15.95" customHeight="1" x14ac:dyDescent="0.2">
      <c r="A78" s="15" t="s">
        <v>58</v>
      </c>
      <c r="B78" s="10">
        <v>5968</v>
      </c>
      <c r="C78" s="10">
        <v>1026672</v>
      </c>
      <c r="D78" s="10">
        <v>905140</v>
      </c>
      <c r="E78" s="10">
        <v>24084</v>
      </c>
      <c r="F78" s="26">
        <v>6086</v>
      </c>
      <c r="G78" s="26">
        <v>5256</v>
      </c>
      <c r="H78" s="26">
        <v>4301</v>
      </c>
      <c r="I78" s="10">
        <v>91177</v>
      </c>
      <c r="J78" s="10">
        <v>9650</v>
      </c>
      <c r="K78" s="10">
        <v>5325</v>
      </c>
      <c r="L78" s="10">
        <v>76202</v>
      </c>
      <c r="M78" s="27">
        <f>9190+27+111+4652</f>
        <v>13980</v>
      </c>
      <c r="N78" s="10" t="s">
        <v>105</v>
      </c>
      <c r="O78" s="10">
        <v>527603</v>
      </c>
      <c r="P78" s="10">
        <v>17080</v>
      </c>
      <c r="Q78" s="26">
        <v>505</v>
      </c>
    </row>
    <row r="79" spans="1:17" ht="15.95" customHeight="1" x14ac:dyDescent="0.2">
      <c r="A79" s="15" t="s">
        <v>59</v>
      </c>
      <c r="B79" s="10">
        <v>6723</v>
      </c>
      <c r="C79" s="10">
        <v>1823478</v>
      </c>
      <c r="D79" s="10">
        <v>1412757</v>
      </c>
      <c r="E79" s="10">
        <v>21044</v>
      </c>
      <c r="F79" s="27">
        <f>31026+1916</f>
        <v>32942</v>
      </c>
      <c r="G79" s="10">
        <v>4560</v>
      </c>
      <c r="H79" s="10">
        <v>3814</v>
      </c>
      <c r="I79" s="10">
        <v>321723</v>
      </c>
      <c r="J79" s="10">
        <v>12984</v>
      </c>
      <c r="K79" s="10">
        <v>21552</v>
      </c>
      <c r="L79" s="10">
        <v>287187</v>
      </c>
      <c r="M79" s="10" t="s">
        <v>105</v>
      </c>
      <c r="N79" s="27">
        <f>32477+193+4119</f>
        <v>36789</v>
      </c>
      <c r="O79" s="10">
        <v>635178</v>
      </c>
      <c r="P79" s="10">
        <v>122531</v>
      </c>
      <c r="Q79" s="11">
        <v>2859</v>
      </c>
    </row>
    <row r="80" spans="1:17" ht="15.95" customHeight="1" x14ac:dyDescent="0.2">
      <c r="A80" s="15" t="s">
        <v>60</v>
      </c>
      <c r="B80" s="10">
        <v>13072</v>
      </c>
      <c r="C80" s="10">
        <v>1416034</v>
      </c>
      <c r="D80" s="10">
        <v>1144220</v>
      </c>
      <c r="E80" s="10">
        <v>110479</v>
      </c>
      <c r="F80" s="10" t="s">
        <v>105</v>
      </c>
      <c r="G80" s="10">
        <v>7505</v>
      </c>
      <c r="H80" s="10">
        <v>7429</v>
      </c>
      <c r="I80" s="10">
        <v>127418</v>
      </c>
      <c r="J80" s="26">
        <v>1921</v>
      </c>
      <c r="K80" s="10">
        <v>6303</v>
      </c>
      <c r="L80" s="10">
        <v>119194</v>
      </c>
      <c r="M80" s="27">
        <f>2434+2003</f>
        <v>4437</v>
      </c>
      <c r="N80" s="10">
        <v>26930</v>
      </c>
      <c r="O80" s="10">
        <v>756644</v>
      </c>
      <c r="P80" s="10">
        <v>22624</v>
      </c>
      <c r="Q80" s="26">
        <v>324</v>
      </c>
    </row>
    <row r="81" spans="1:17" ht="15.95" customHeight="1" x14ac:dyDescent="0.2">
      <c r="A81" s="15" t="s">
        <v>61</v>
      </c>
      <c r="B81" s="10">
        <v>7506</v>
      </c>
      <c r="C81" s="10">
        <v>772302</v>
      </c>
      <c r="D81" s="10">
        <v>675896</v>
      </c>
      <c r="E81" s="10">
        <v>24000</v>
      </c>
      <c r="F81" s="26">
        <v>8980</v>
      </c>
      <c r="G81" s="26">
        <v>232</v>
      </c>
      <c r="H81" s="10" t="s">
        <v>105</v>
      </c>
      <c r="I81" s="10">
        <v>50911</v>
      </c>
      <c r="J81" s="26">
        <v>2084</v>
      </c>
      <c r="K81" s="10">
        <v>1622</v>
      </c>
      <c r="L81" s="10">
        <v>47205</v>
      </c>
      <c r="M81" s="10">
        <v>0</v>
      </c>
      <c r="N81" s="26">
        <v>12282</v>
      </c>
      <c r="O81" s="10">
        <v>446482</v>
      </c>
      <c r="P81" s="10">
        <v>10157</v>
      </c>
      <c r="Q81" s="26">
        <v>503</v>
      </c>
    </row>
    <row r="82" spans="1:17" ht="15.95" customHeight="1" x14ac:dyDescent="0.2">
      <c r="A82" s="15" t="s">
        <v>62</v>
      </c>
      <c r="B82" s="10">
        <v>3936</v>
      </c>
      <c r="C82" s="10">
        <v>377545</v>
      </c>
      <c r="D82" s="10">
        <v>305097</v>
      </c>
      <c r="E82" s="10">
        <v>27802</v>
      </c>
      <c r="F82" s="10" t="s">
        <v>105</v>
      </c>
      <c r="G82" s="26">
        <v>606</v>
      </c>
      <c r="H82" s="10" t="s">
        <v>105</v>
      </c>
      <c r="I82" s="10">
        <v>37392</v>
      </c>
      <c r="J82" s="26">
        <v>6788</v>
      </c>
      <c r="K82" s="26">
        <v>2477</v>
      </c>
      <c r="L82" s="10">
        <v>28128</v>
      </c>
      <c r="M82" s="10" t="s">
        <v>105</v>
      </c>
      <c r="N82" s="10">
        <v>6703</v>
      </c>
      <c r="O82" s="10">
        <v>240070</v>
      </c>
      <c r="P82" s="10">
        <v>8982</v>
      </c>
      <c r="Q82" s="11" t="s">
        <v>105</v>
      </c>
    </row>
    <row r="83" spans="1:17" ht="15.95" customHeight="1" x14ac:dyDescent="0.2">
      <c r="A83" s="15" t="s">
        <v>63</v>
      </c>
      <c r="B83" s="10">
        <v>8596</v>
      </c>
      <c r="C83" s="10">
        <v>1392247</v>
      </c>
      <c r="D83" s="10">
        <v>1120636</v>
      </c>
      <c r="E83" s="10">
        <v>54617</v>
      </c>
      <c r="F83" s="27">
        <f>30089+1948</f>
        <v>32037</v>
      </c>
      <c r="G83" s="10">
        <v>14305</v>
      </c>
      <c r="H83" s="27">
        <f>11707+419+145</f>
        <v>12271</v>
      </c>
      <c r="I83" s="10">
        <v>170856</v>
      </c>
      <c r="J83" s="10">
        <v>13281</v>
      </c>
      <c r="K83" s="10">
        <v>31230</v>
      </c>
      <c r="L83" s="10">
        <v>126346</v>
      </c>
      <c r="M83" s="26">
        <v>4544</v>
      </c>
      <c r="N83" s="10">
        <v>6382</v>
      </c>
      <c r="O83" s="10">
        <v>738439</v>
      </c>
      <c r="P83" s="10">
        <v>80431</v>
      </c>
      <c r="Q83" s="27">
        <f>3593+26+215</f>
        <v>3834</v>
      </c>
    </row>
    <row r="84" spans="1:17" ht="15.95" customHeight="1" x14ac:dyDescent="0.2">
      <c r="A84" s="15" t="s">
        <v>64</v>
      </c>
      <c r="B84" s="10">
        <f t="shared" ref="B84:P84" si="4">B64-(SUM(B65:B83))</f>
        <v>8573</v>
      </c>
      <c r="C84" s="10">
        <f t="shared" si="4"/>
        <v>823303</v>
      </c>
      <c r="D84" s="10">
        <f t="shared" si="4"/>
        <v>655271</v>
      </c>
      <c r="E84" s="10">
        <f t="shared" si="4"/>
        <v>48760</v>
      </c>
      <c r="F84" s="10">
        <f t="shared" si="4"/>
        <v>125</v>
      </c>
      <c r="G84" s="10">
        <f t="shared" si="4"/>
        <v>10156</v>
      </c>
      <c r="H84" s="10">
        <f t="shared" si="4"/>
        <v>7371</v>
      </c>
      <c r="I84" s="10">
        <f t="shared" si="4"/>
        <v>109627</v>
      </c>
      <c r="J84" s="10">
        <f t="shared" si="4"/>
        <v>5356</v>
      </c>
      <c r="K84" s="10">
        <f t="shared" si="4"/>
        <v>2571</v>
      </c>
      <c r="L84" s="10">
        <f t="shared" si="4"/>
        <v>101699</v>
      </c>
      <c r="M84" s="26">
        <f t="shared" si="4"/>
        <v>1765</v>
      </c>
      <c r="N84" s="10">
        <f t="shared" si="4"/>
        <v>1129</v>
      </c>
      <c r="O84" s="10">
        <f t="shared" si="4"/>
        <v>510073</v>
      </c>
      <c r="P84" s="10">
        <f t="shared" si="4"/>
        <v>10099</v>
      </c>
      <c r="Q84" s="11" t="s">
        <v>105</v>
      </c>
    </row>
    <row r="85" spans="1:17" ht="15.95" customHeight="1" x14ac:dyDescent="0.2">
      <c r="A85" s="8" t="s">
        <v>65</v>
      </c>
      <c r="B85" s="12">
        <v>15394</v>
      </c>
      <c r="C85" s="12">
        <v>1532925</v>
      </c>
      <c r="D85" s="12">
        <v>1374020</v>
      </c>
      <c r="E85" s="12">
        <v>61385</v>
      </c>
      <c r="F85" s="12">
        <v>2381</v>
      </c>
      <c r="G85" s="17">
        <v>2429</v>
      </c>
      <c r="H85" s="17">
        <v>1842</v>
      </c>
      <c r="I85" s="12">
        <v>69102</v>
      </c>
      <c r="J85" s="18">
        <v>1219</v>
      </c>
      <c r="K85" s="17">
        <v>1055</v>
      </c>
      <c r="L85" s="12">
        <v>66830</v>
      </c>
      <c r="M85" s="17">
        <v>1552</v>
      </c>
      <c r="N85" s="12">
        <v>25161</v>
      </c>
      <c r="O85" s="12">
        <v>1021492</v>
      </c>
      <c r="P85" s="12">
        <v>26564</v>
      </c>
      <c r="Q85" s="12">
        <v>449</v>
      </c>
    </row>
    <row r="86" spans="1:17" ht="15.95" customHeight="1" x14ac:dyDescent="0.2">
      <c r="A86" s="15" t="s">
        <v>66</v>
      </c>
      <c r="B86" s="10">
        <v>10842</v>
      </c>
      <c r="C86" s="27">
        <v>1532925</v>
      </c>
      <c r="D86" s="27">
        <v>1374020</v>
      </c>
      <c r="E86" s="10">
        <v>46191</v>
      </c>
      <c r="F86" s="10">
        <v>1993</v>
      </c>
      <c r="G86" s="27">
        <v>2429</v>
      </c>
      <c r="H86" s="27">
        <v>1842</v>
      </c>
      <c r="I86" s="27">
        <v>69102</v>
      </c>
      <c r="J86" s="27">
        <v>1219</v>
      </c>
      <c r="K86" s="27">
        <v>1055</v>
      </c>
      <c r="L86" s="27">
        <v>66830</v>
      </c>
      <c r="M86" s="27">
        <v>1552</v>
      </c>
      <c r="N86" s="27">
        <v>25161</v>
      </c>
      <c r="O86" s="27">
        <v>1021492</v>
      </c>
      <c r="P86" s="27">
        <v>26564</v>
      </c>
      <c r="Q86" s="27">
        <v>449</v>
      </c>
    </row>
    <row r="87" spans="1:17" ht="15.95" customHeight="1" x14ac:dyDescent="0.2">
      <c r="A87" s="15" t="s">
        <v>67</v>
      </c>
      <c r="B87" s="10">
        <v>3924</v>
      </c>
      <c r="C87" s="10" t="s">
        <v>105</v>
      </c>
      <c r="D87" s="10" t="s">
        <v>105</v>
      </c>
      <c r="E87" s="10">
        <v>15171</v>
      </c>
      <c r="F87" s="10">
        <v>388</v>
      </c>
      <c r="G87" s="10" t="s">
        <v>105</v>
      </c>
      <c r="H87" s="10" t="s">
        <v>105</v>
      </c>
      <c r="I87" s="10" t="s">
        <v>105</v>
      </c>
      <c r="J87" s="10" t="s">
        <v>105</v>
      </c>
      <c r="K87" s="10" t="s">
        <v>105</v>
      </c>
      <c r="L87" s="10" t="s">
        <v>105</v>
      </c>
      <c r="M87" s="10" t="s">
        <v>105</v>
      </c>
      <c r="N87" s="10" t="s">
        <v>105</v>
      </c>
      <c r="O87" s="10" t="s">
        <v>105</v>
      </c>
      <c r="P87" s="10" t="s">
        <v>105</v>
      </c>
      <c r="Q87" s="11" t="s">
        <v>105</v>
      </c>
    </row>
    <row r="88" spans="1:17" ht="15.95" customHeight="1" x14ac:dyDescent="0.2">
      <c r="A88" s="15" t="s">
        <v>68</v>
      </c>
      <c r="B88" s="10">
        <f>B85-(SUM(B86:B87))</f>
        <v>628</v>
      </c>
      <c r="C88" s="10" t="s">
        <v>105</v>
      </c>
      <c r="D88" s="10" t="s">
        <v>105</v>
      </c>
      <c r="E88" s="10">
        <v>22</v>
      </c>
      <c r="F88" s="10">
        <f t="shared" ref="F88:Q88" si="5">F85-(SUM(F86:F87))</f>
        <v>0</v>
      </c>
      <c r="G88" s="10" t="s">
        <v>105</v>
      </c>
      <c r="H88" s="10">
        <f t="shared" si="5"/>
        <v>0</v>
      </c>
      <c r="I88" s="10" t="s">
        <v>105</v>
      </c>
      <c r="J88" s="10" t="s">
        <v>105</v>
      </c>
      <c r="K88" s="10">
        <f t="shared" si="5"/>
        <v>0</v>
      </c>
      <c r="L88" s="26" t="s">
        <v>105</v>
      </c>
      <c r="M88" s="10">
        <f t="shared" si="5"/>
        <v>0</v>
      </c>
      <c r="N88" s="10">
        <v>0</v>
      </c>
      <c r="O88" s="10" t="s">
        <v>105</v>
      </c>
      <c r="P88" s="10" t="s">
        <v>105</v>
      </c>
      <c r="Q88" s="11">
        <f t="shared" si="5"/>
        <v>0</v>
      </c>
    </row>
    <row r="89" spans="1:17" ht="15.95" customHeight="1" x14ac:dyDescent="0.2">
      <c r="A89" s="9" t="s">
        <v>102</v>
      </c>
      <c r="B89" s="12">
        <f t="shared" ref="B89:Q89" si="6">B10-(B11+B15+B25+B32+B56+B64+B85)</f>
        <v>83538</v>
      </c>
      <c r="C89" s="12">
        <f t="shared" si="6"/>
        <v>7719804</v>
      </c>
      <c r="D89" s="12">
        <f t="shared" si="6"/>
        <v>7017653</v>
      </c>
      <c r="E89" s="12">
        <f t="shared" si="6"/>
        <v>439975</v>
      </c>
      <c r="F89" s="12">
        <f t="shared" si="6"/>
        <v>59734</v>
      </c>
      <c r="G89" s="12">
        <f t="shared" si="6"/>
        <v>29367</v>
      </c>
      <c r="H89" s="12">
        <v>22195</v>
      </c>
      <c r="I89" s="12">
        <f t="shared" si="6"/>
        <v>81192</v>
      </c>
      <c r="J89" s="12">
        <f t="shared" si="6"/>
        <v>24877</v>
      </c>
      <c r="K89" s="12">
        <f t="shared" si="6"/>
        <v>12945</v>
      </c>
      <c r="L89" s="12">
        <f t="shared" si="6"/>
        <v>43369</v>
      </c>
      <c r="M89" s="12">
        <f t="shared" si="6"/>
        <v>9273</v>
      </c>
      <c r="N89" s="12">
        <f t="shared" si="6"/>
        <v>114444</v>
      </c>
      <c r="O89" s="12">
        <f t="shared" si="6"/>
        <v>5206173</v>
      </c>
      <c r="P89" s="12">
        <f t="shared" si="6"/>
        <v>87548</v>
      </c>
      <c r="Q89" s="14">
        <f t="shared" si="6"/>
        <v>4957</v>
      </c>
    </row>
    <row r="90" spans="1:17" x14ac:dyDescent="0.2">
      <c r="A90" s="33" t="s">
        <v>69</v>
      </c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</row>
    <row r="91" spans="1:17" x14ac:dyDescent="0.2">
      <c r="A91" s="19" t="s">
        <v>96</v>
      </c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 x14ac:dyDescent="0.2">
      <c r="A92" s="34" t="s">
        <v>90</v>
      </c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</row>
    <row r="93" spans="1:17" x14ac:dyDescent="0.2">
      <c r="A93" s="34" t="s">
        <v>110</v>
      </c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</row>
    <row r="94" spans="1:17" x14ac:dyDescent="0.2">
      <c r="A94" s="34" t="s">
        <v>106</v>
      </c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</row>
    <row r="95" spans="1:17" x14ac:dyDescent="0.2">
      <c r="A95" s="28" t="s">
        <v>108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</row>
    <row r="96" spans="1:17" x14ac:dyDescent="0.2">
      <c r="A96" s="28" t="s">
        <v>109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</row>
    <row r="97" spans="1:143" x14ac:dyDescent="0.2">
      <c r="A97" s="29" t="s">
        <v>107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</row>
    <row r="103" spans="1:143" ht="12.75" x14ac:dyDescent="0.2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1"/>
      <c r="BH103" s="21"/>
      <c r="BI103" s="21"/>
      <c r="BJ103" s="21"/>
      <c r="BK103" s="21"/>
      <c r="BL103" s="21"/>
      <c r="BM103" s="21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2"/>
      <c r="DC103" s="22"/>
      <c r="DD103" s="22"/>
      <c r="DE103" s="22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3"/>
      <c r="EM103" s="20"/>
    </row>
    <row r="104" spans="1:143" ht="12.75" x14ac:dyDescent="0.2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4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1"/>
      <c r="BH104" s="21"/>
      <c r="BI104" s="21"/>
      <c r="BJ104" s="21"/>
      <c r="BK104" s="21"/>
      <c r="BL104" s="21"/>
      <c r="BM104" s="21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5"/>
      <c r="DC104" s="22"/>
      <c r="DD104" s="25"/>
      <c r="DE104" s="22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</row>
  </sheetData>
  <mergeCells count="29">
    <mergeCell ref="A1:Q1"/>
    <mergeCell ref="A2:Q2"/>
    <mergeCell ref="A3:A8"/>
    <mergeCell ref="B3:B8"/>
    <mergeCell ref="C3:C8"/>
    <mergeCell ref="D3:N3"/>
    <mergeCell ref="O3:O8"/>
    <mergeCell ref="P3:P8"/>
    <mergeCell ref="Q3:Q8"/>
    <mergeCell ref="D4:D8"/>
    <mergeCell ref="E4:E8"/>
    <mergeCell ref="F4:F8"/>
    <mergeCell ref="G4:H4"/>
    <mergeCell ref="I4:L4"/>
    <mergeCell ref="M4:M8"/>
    <mergeCell ref="N4:N8"/>
    <mergeCell ref="A96:Q96"/>
    <mergeCell ref="A97:Q97"/>
    <mergeCell ref="L5:L8"/>
    <mergeCell ref="A90:Q90"/>
    <mergeCell ref="A92:Q92"/>
    <mergeCell ref="A93:Q93"/>
    <mergeCell ref="A94:Q94"/>
    <mergeCell ref="G5:G8"/>
    <mergeCell ref="H5:H8"/>
    <mergeCell ref="I5:I8"/>
    <mergeCell ref="J5:J8"/>
    <mergeCell ref="K5:K8"/>
    <mergeCell ref="A95:Q95"/>
  </mergeCells>
  <phoneticPr fontId="6" type="noConversion"/>
  <conditionalFormatting sqref="C103:EK103 EM103 C104:EM104">
    <cfRule type="cellIs" dxfId="0" priority="1" operator="equal">
      <formula>0</formula>
    </cfRule>
  </conditionalFormatting>
  <printOptions gridLines="1"/>
  <pageMargins left="0.5" right="0.5" top="0.5" bottom="0.5" header="0.5" footer="0.5"/>
  <pageSetup scale="5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9B6CDF-8C9D-41D7-8667-9946726394E0}"/>
</file>

<file path=customXml/itemProps2.xml><?xml version="1.0" encoding="utf-8"?>
<ds:datastoreItem xmlns:ds="http://schemas.openxmlformats.org/officeDocument/2006/customXml" ds:itemID="{483EF367-9E20-4CE4-9273-BEBADE9CD718}"/>
</file>

<file path=customXml/itemProps3.xml><?xml version="1.0" encoding="utf-8"?>
<ds:datastoreItem xmlns:ds="http://schemas.openxmlformats.org/officeDocument/2006/customXml" ds:itemID="{A422D380-4AAD-45DD-B1E9-12B570CA83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01in02ic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Parisi</dc:creator>
  <cp:lastModifiedBy>Curry Jeffrey B</cp:lastModifiedBy>
  <cp:lastPrinted>2009-01-26T15:23:33Z</cp:lastPrinted>
  <dcterms:created xsi:type="dcterms:W3CDTF">2009-01-14T15:40:35Z</dcterms:created>
  <dcterms:modified xsi:type="dcterms:W3CDTF">2024-12-18T20:40:53Z</dcterms:modified>
</cp:coreProperties>
</file>